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35" tabRatio="683"/>
  </bookViews>
  <sheets>
    <sheet name="Основной отчет" sheetId="1" r:id="rId1"/>
    <sheet name="Показатели" sheetId="2" state="hidden" r:id="rId2"/>
    <sheet name="Финансовая поддержка" sheetId="3" state="hidden" r:id="rId3"/>
    <sheet name="Оценка эффективности" sheetId="4" state="hidden" r:id="rId4"/>
  </sheets>
  <definedNames>
    <definedName name="_ftn1" localSheetId="0">'Основной отчет'!$C$9</definedName>
    <definedName name="_ftn2" localSheetId="0">'Основной отчет'!$C$10</definedName>
    <definedName name="_ftnref1" localSheetId="0">'Основной отчет'!$D$6</definedName>
    <definedName name="_ftnref2" localSheetId="0">'Основной отчет'!$E$6</definedName>
  </definedNames>
  <calcPr calcId="152511"/>
</workbook>
</file>

<file path=xl/calcChain.xml><?xml version="1.0" encoding="utf-8"?>
<calcChain xmlns="http://schemas.openxmlformats.org/spreadsheetml/2006/main">
  <c r="E34" i="1" l="1"/>
  <c r="E23" i="1"/>
  <c r="E19" i="1"/>
  <c r="E13" i="1"/>
  <c r="E118" i="1"/>
  <c r="I207" i="1" l="1"/>
  <c r="E104" i="1"/>
  <c r="E24" i="1" s="1"/>
  <c r="E79" i="1" l="1"/>
  <c r="E294" i="1"/>
  <c r="D297" i="1"/>
  <c r="D292" i="1"/>
  <c r="D287" i="1"/>
  <c r="D282" i="1"/>
  <c r="D277" i="1"/>
  <c r="D276" i="1"/>
  <c r="D275" i="1"/>
  <c r="D274" i="1"/>
  <c r="D273" i="1"/>
  <c r="D268" i="1"/>
  <c r="D262" i="1"/>
  <c r="D257" i="1"/>
  <c r="D252" i="1"/>
  <c r="D247" i="1"/>
  <c r="D237" i="1"/>
  <c r="D234" i="1"/>
  <c r="D229" i="1" s="1"/>
  <c r="D233" i="1"/>
  <c r="D222" i="1"/>
  <c r="D219" i="1"/>
  <c r="D217" i="1" s="1"/>
  <c r="D212" i="1"/>
  <c r="D209" i="1"/>
  <c r="D208" i="1"/>
  <c r="D207" i="1" s="1"/>
  <c r="D202" i="1"/>
  <c r="D198" i="1"/>
  <c r="D197" i="1"/>
  <c r="D192" i="1"/>
  <c r="D187" i="1"/>
  <c r="D182" i="1"/>
  <c r="D177" i="1"/>
  <c r="D172" i="1"/>
  <c r="D167" i="1"/>
  <c r="D163" i="1"/>
  <c r="D162" i="1"/>
  <c r="D157" i="1"/>
  <c r="D152" i="1"/>
  <c r="D147" i="1"/>
  <c r="D143" i="1"/>
  <c r="D142" i="1" s="1"/>
  <c r="D137" i="1"/>
  <c r="D132" i="1"/>
  <c r="D127" i="1"/>
  <c r="D122" i="1"/>
  <c r="D119" i="1"/>
  <c r="D114" i="1" s="1"/>
  <c r="D118" i="1"/>
  <c r="D116" i="1"/>
  <c r="D115" i="1"/>
  <c r="D97" i="1"/>
  <c r="D92" i="1"/>
  <c r="D87" i="1"/>
  <c r="D82" i="1"/>
  <c r="D79" i="1"/>
  <c r="D78" i="1"/>
  <c r="D72" i="1"/>
  <c r="D67" i="1"/>
  <c r="D62" i="1"/>
  <c r="D60" i="1"/>
  <c r="D59" i="1"/>
  <c r="D54" i="1" s="1"/>
  <c r="D58" i="1"/>
  <c r="D50" i="1"/>
  <c r="D117" i="1" l="1"/>
  <c r="D113" i="1"/>
  <c r="D112" i="1" s="1"/>
  <c r="D272" i="1"/>
  <c r="D77" i="1"/>
  <c r="D57" i="1"/>
  <c r="D232" i="1"/>
  <c r="D52" i="1"/>
  <c r="D49" i="1"/>
  <c r="D53" i="1"/>
  <c r="D48" i="1" s="1"/>
  <c r="D228" i="1"/>
  <c r="D227" i="1" s="1"/>
  <c r="D269" i="1"/>
  <c r="D267" i="1" s="1"/>
  <c r="E7" i="4"/>
  <c r="E6" i="4"/>
  <c r="N35" i="2"/>
  <c r="N37" i="2"/>
  <c r="N23" i="2"/>
  <c r="N24" i="2"/>
  <c r="N25" i="2"/>
  <c r="N26" i="2"/>
  <c r="N27" i="2"/>
  <c r="N28" i="2"/>
  <c r="N29" i="2"/>
  <c r="N30" i="2"/>
  <c r="N31" i="2"/>
  <c r="N22" i="2"/>
  <c r="N16" i="2"/>
  <c r="N17" i="2"/>
  <c r="N18" i="2"/>
  <c r="N19" i="2"/>
  <c r="N20" i="2"/>
  <c r="N15" i="2"/>
  <c r="N9" i="2"/>
  <c r="N11" i="2"/>
  <c r="N13" i="2"/>
  <c r="N8" i="2"/>
  <c r="D47" i="1" l="1"/>
  <c r="D9" i="1"/>
  <c r="F289" i="1"/>
  <c r="I37" i="2"/>
  <c r="D8" i="1" l="1"/>
  <c r="D7" i="1" s="1"/>
  <c r="E234" i="1"/>
  <c r="E233" i="1"/>
  <c r="E273" i="1"/>
  <c r="E268" i="1" s="1"/>
  <c r="I37" i="1" l="1"/>
  <c r="I27" i="1"/>
  <c r="I32" i="1"/>
  <c r="I39" i="1"/>
  <c r="I29" i="1"/>
  <c r="I22" i="1" l="1"/>
  <c r="I232" i="1"/>
  <c r="I34" i="1"/>
  <c r="H22" i="2" l="1"/>
  <c r="I22" i="2"/>
  <c r="M22" i="2"/>
  <c r="H23" i="2"/>
  <c r="I23" i="2"/>
  <c r="M23" i="2"/>
  <c r="H24" i="2"/>
  <c r="I24" i="2"/>
  <c r="M24" i="2"/>
  <c r="H25" i="2"/>
  <c r="I25" i="2"/>
  <c r="M25" i="2"/>
  <c r="H26" i="2"/>
  <c r="I26" i="2"/>
  <c r="M26" i="2"/>
  <c r="H27" i="2"/>
  <c r="I27" i="2"/>
  <c r="M27" i="2"/>
  <c r="H28" i="2"/>
  <c r="I28" i="2"/>
  <c r="M28" i="2"/>
  <c r="H29" i="2"/>
  <c r="I29" i="2"/>
  <c r="M29" i="2"/>
  <c r="H30" i="2"/>
  <c r="I30" i="2"/>
  <c r="M30" i="2"/>
  <c r="H31" i="2"/>
  <c r="I31" i="2"/>
  <c r="M31" i="2"/>
  <c r="H15" i="2"/>
  <c r="I15" i="2"/>
  <c r="M15" i="2"/>
  <c r="H16" i="2"/>
  <c r="I16" i="2"/>
  <c r="M16" i="2"/>
  <c r="H17" i="2"/>
  <c r="I17" i="2"/>
  <c r="M17" i="2"/>
  <c r="H18" i="2"/>
  <c r="I18" i="2"/>
  <c r="M18" i="2"/>
  <c r="H19" i="2"/>
  <c r="I19" i="2"/>
  <c r="M19" i="2"/>
  <c r="M21" i="2" l="1"/>
  <c r="M13" i="2"/>
  <c r="I13" i="2"/>
  <c r="H13" i="2"/>
  <c r="H12" i="2"/>
  <c r="I12" i="2"/>
  <c r="N12" i="2" s="1"/>
  <c r="M12" i="2"/>
  <c r="I45" i="1"/>
  <c r="I43" i="1"/>
  <c r="I44" i="1"/>
  <c r="I42" i="1"/>
  <c r="I55" i="1"/>
  <c r="I54" i="1"/>
  <c r="I53" i="1"/>
  <c r="I52" i="1"/>
  <c r="I15" i="1"/>
  <c r="I14" i="1"/>
  <c r="I13" i="1"/>
  <c r="I12" i="1"/>
  <c r="I35" i="1"/>
  <c r="I33" i="1"/>
  <c r="I30" i="1"/>
  <c r="I28" i="1"/>
  <c r="I25" i="1"/>
  <c r="I24" i="1"/>
  <c r="I23" i="1"/>
  <c r="I20" i="1"/>
  <c r="I19" i="1"/>
  <c r="I18" i="1"/>
  <c r="I17" i="1"/>
  <c r="I275" i="1"/>
  <c r="I270" i="1" s="1"/>
  <c r="I274" i="1"/>
  <c r="I269" i="1" s="1"/>
  <c r="I273" i="1"/>
  <c r="I268" i="1" s="1"/>
  <c r="I272" i="1"/>
  <c r="I267" i="1" s="1"/>
  <c r="E274" i="1"/>
  <c r="E275" i="1"/>
  <c r="E270" i="1" s="1"/>
  <c r="E276" i="1"/>
  <c r="E271" i="1" s="1"/>
  <c r="E297" i="1"/>
  <c r="F299" i="1"/>
  <c r="F294" i="1"/>
  <c r="E292" i="1"/>
  <c r="I235" i="1"/>
  <c r="I230" i="1" s="1"/>
  <c r="I234" i="1"/>
  <c r="I229" i="1" s="1"/>
  <c r="I233" i="1"/>
  <c r="I228" i="1" s="1"/>
  <c r="I227" i="1"/>
  <c r="E228" i="1"/>
  <c r="E229" i="1"/>
  <c r="E235" i="1"/>
  <c r="E230" i="1" s="1"/>
  <c r="E236" i="1"/>
  <c r="E231" i="1" s="1"/>
  <c r="E237" i="1"/>
  <c r="F238" i="1"/>
  <c r="E242" i="1"/>
  <c r="E247" i="1"/>
  <c r="F248" i="1"/>
  <c r="E252" i="1"/>
  <c r="I197" i="1"/>
  <c r="F203" i="1"/>
  <c r="I217" i="1"/>
  <c r="E218" i="1"/>
  <c r="I218" i="1"/>
  <c r="E219" i="1"/>
  <c r="I219" i="1"/>
  <c r="E220" i="1"/>
  <c r="I220" i="1"/>
  <c r="E221" i="1"/>
  <c r="E222" i="1"/>
  <c r="F224" i="1"/>
  <c r="E198" i="1"/>
  <c r="E38" i="1" s="1"/>
  <c r="I198" i="1"/>
  <c r="E199" i="1"/>
  <c r="I199" i="1"/>
  <c r="E200" i="1"/>
  <c r="I200" i="1"/>
  <c r="E201" i="1"/>
  <c r="E202" i="1"/>
  <c r="E208" i="1"/>
  <c r="I208" i="1"/>
  <c r="E209" i="1"/>
  <c r="E39" i="1" s="1"/>
  <c r="I209" i="1"/>
  <c r="E210" i="1"/>
  <c r="I210" i="1"/>
  <c r="E211" i="1"/>
  <c r="E212" i="1"/>
  <c r="F214" i="1"/>
  <c r="I190" i="1"/>
  <c r="I189" i="1"/>
  <c r="I188" i="1"/>
  <c r="I187" i="1"/>
  <c r="E188" i="1"/>
  <c r="E189" i="1"/>
  <c r="E190" i="1"/>
  <c r="E191" i="1"/>
  <c r="F194" i="1"/>
  <c r="E192" i="1"/>
  <c r="I165" i="1"/>
  <c r="I164" i="1"/>
  <c r="I163" i="1"/>
  <c r="I162" i="1"/>
  <c r="E182" i="1"/>
  <c r="E163" i="1"/>
  <c r="E164" i="1"/>
  <c r="E165" i="1"/>
  <c r="E166" i="1"/>
  <c r="F183" i="1"/>
  <c r="F178" i="1"/>
  <c r="E177" i="1"/>
  <c r="F173" i="1"/>
  <c r="E172" i="1"/>
  <c r="F168" i="1"/>
  <c r="E167" i="1"/>
  <c r="I145" i="1"/>
  <c r="I144" i="1"/>
  <c r="I143" i="1"/>
  <c r="I142" i="1"/>
  <c r="E147" i="1"/>
  <c r="E143" i="1"/>
  <c r="E144" i="1"/>
  <c r="E145" i="1"/>
  <c r="E146" i="1"/>
  <c r="I120" i="1"/>
  <c r="F148" i="1"/>
  <c r="E152" i="1"/>
  <c r="F153" i="1"/>
  <c r="E157" i="1"/>
  <c r="F158" i="1"/>
  <c r="F138" i="1"/>
  <c r="E137" i="1"/>
  <c r="I119" i="1"/>
  <c r="I118" i="1"/>
  <c r="I117" i="1"/>
  <c r="I80" i="1"/>
  <c r="I79" i="1"/>
  <c r="I78" i="1"/>
  <c r="I77" i="1"/>
  <c r="E119" i="1"/>
  <c r="E120" i="1"/>
  <c r="E121" i="1"/>
  <c r="E122" i="1"/>
  <c r="F123" i="1"/>
  <c r="E127" i="1"/>
  <c r="F127" i="1" s="1"/>
  <c r="F128" i="1"/>
  <c r="E78" i="1"/>
  <c r="E80" i="1"/>
  <c r="E81" i="1"/>
  <c r="F98" i="1"/>
  <c r="E97" i="1"/>
  <c r="E82" i="1"/>
  <c r="F84" i="1"/>
  <c r="E87" i="1"/>
  <c r="F89" i="1"/>
  <c r="E92" i="1"/>
  <c r="F94" i="1"/>
  <c r="E102" i="1"/>
  <c r="F104" i="1"/>
  <c r="E58" i="1"/>
  <c r="E59" i="1"/>
  <c r="E60" i="1"/>
  <c r="E61" i="1"/>
  <c r="E67" i="1"/>
  <c r="F69" i="1"/>
  <c r="F64" i="1"/>
  <c r="E28" i="1" l="1"/>
  <c r="I201" i="1"/>
  <c r="I50" i="1"/>
  <c r="F167" i="1"/>
  <c r="E269" i="1"/>
  <c r="F274" i="1"/>
  <c r="I47" i="1"/>
  <c r="E114" i="1"/>
  <c r="I146" i="1"/>
  <c r="I112" i="1"/>
  <c r="F237" i="1"/>
  <c r="F8" i="4"/>
  <c r="F297" i="1"/>
  <c r="I48" i="1"/>
  <c r="E113" i="1"/>
  <c r="E116" i="1"/>
  <c r="I49" i="1"/>
  <c r="E115" i="1"/>
  <c r="I114" i="1"/>
  <c r="F147" i="1"/>
  <c r="F189" i="1"/>
  <c r="F212" i="1"/>
  <c r="I221" i="1"/>
  <c r="F234" i="1"/>
  <c r="F292" i="1"/>
  <c r="I113" i="1"/>
  <c r="F229" i="1"/>
  <c r="I115" i="1"/>
  <c r="F247" i="1"/>
  <c r="F219" i="1"/>
  <c r="F198" i="1"/>
  <c r="F152" i="1"/>
  <c r="F182" i="1"/>
  <c r="E217" i="1"/>
  <c r="I191" i="1"/>
  <c r="F209" i="1"/>
  <c r="F222" i="1"/>
  <c r="E197" i="1"/>
  <c r="F202" i="1"/>
  <c r="I211" i="1"/>
  <c r="E207" i="1"/>
  <c r="E162" i="1"/>
  <c r="E187" i="1"/>
  <c r="F192" i="1"/>
  <c r="I166" i="1"/>
  <c r="F177" i="1"/>
  <c r="F172" i="1"/>
  <c r="F163" i="1"/>
  <c r="F143" i="1"/>
  <c r="F157" i="1"/>
  <c r="E142" i="1"/>
  <c r="F82" i="1"/>
  <c r="F137" i="1"/>
  <c r="F92" i="1"/>
  <c r="E77" i="1"/>
  <c r="I56" i="1"/>
  <c r="F122" i="1"/>
  <c r="F59" i="1"/>
  <c r="F102" i="1"/>
  <c r="I81" i="1"/>
  <c r="F87" i="1"/>
  <c r="F78" i="1"/>
  <c r="F97" i="1"/>
  <c r="F79" i="1"/>
  <c r="E57" i="1"/>
  <c r="I10" i="1" l="1"/>
  <c r="F269" i="1"/>
  <c r="E29" i="1"/>
  <c r="I51" i="1"/>
  <c r="I7" i="1"/>
  <c r="F114" i="1"/>
  <c r="F57" i="1"/>
  <c r="E27" i="1"/>
  <c r="F217" i="1"/>
  <c r="I8" i="1"/>
  <c r="F6" i="4"/>
  <c r="I9" i="1"/>
  <c r="F162" i="1"/>
  <c r="F197" i="1"/>
  <c r="F207" i="1"/>
  <c r="F187" i="1"/>
  <c r="F142" i="1"/>
  <c r="F77" i="1"/>
  <c r="F13" i="1" l="1"/>
  <c r="E17" i="1"/>
  <c r="F19" i="1"/>
  <c r="E22" i="1"/>
  <c r="F23" i="1"/>
  <c r="F24" i="1"/>
  <c r="F28" i="1"/>
  <c r="F29" i="1"/>
  <c r="F27" i="1" l="1"/>
  <c r="F22" i="1"/>
  <c r="F17" i="1"/>
  <c r="H11" i="2"/>
  <c r="H20" i="2"/>
  <c r="I8" i="2"/>
  <c r="M35" i="2" l="1"/>
  <c r="M36" i="2"/>
  <c r="M37" i="2"/>
  <c r="H35" i="2"/>
  <c r="I35" i="2"/>
  <c r="H36" i="2"/>
  <c r="I36" i="2"/>
  <c r="N36" i="2" s="1"/>
  <c r="H37" i="2"/>
  <c r="M34" i="2"/>
  <c r="H34" i="2"/>
  <c r="I34" i="2"/>
  <c r="N34" i="2" s="1"/>
  <c r="M33" i="2"/>
  <c r="M32" i="2" s="1"/>
  <c r="I33" i="2"/>
  <c r="N33" i="2" s="1"/>
  <c r="H33" i="2"/>
  <c r="E42" i="1"/>
  <c r="F38" i="1"/>
  <c r="F39" i="1"/>
  <c r="E37" i="1"/>
  <c r="F34" i="1"/>
  <c r="E32" i="1"/>
  <c r="I40" i="1"/>
  <c r="I38" i="1"/>
  <c r="I41" i="1" s="1"/>
  <c r="I36" i="1"/>
  <c r="N32" i="2" l="1"/>
  <c r="E8" i="4" s="1"/>
  <c r="D8" i="4"/>
  <c r="F37" i="1"/>
  <c r="F32" i="1"/>
  <c r="E277" i="1"/>
  <c r="E282" i="1"/>
  <c r="E287" i="1"/>
  <c r="E262" i="1"/>
  <c r="E257" i="1"/>
  <c r="E232" i="1" l="1"/>
  <c r="E272" i="1"/>
  <c r="I236" i="1"/>
  <c r="I276" i="1"/>
  <c r="E267" i="1"/>
  <c r="F233" i="1"/>
  <c r="F273" i="1"/>
  <c r="F277" i="1"/>
  <c r="F278" i="1"/>
  <c r="F282" i="1"/>
  <c r="F283" i="1"/>
  <c r="F287" i="1"/>
  <c r="F133" i="1"/>
  <c r="E132" i="1"/>
  <c r="E53" i="1"/>
  <c r="E48" i="1" s="1"/>
  <c r="E8" i="1" s="1"/>
  <c r="E54" i="1"/>
  <c r="E55" i="1"/>
  <c r="E56" i="1"/>
  <c r="F74" i="1"/>
  <c r="E72" i="1"/>
  <c r="E62" i="1"/>
  <c r="E49" i="1" l="1"/>
  <c r="E9" i="1" s="1"/>
  <c r="E14" i="1"/>
  <c r="F272" i="1"/>
  <c r="F267" i="1"/>
  <c r="F232" i="1"/>
  <c r="F228" i="1"/>
  <c r="F268" i="1"/>
  <c r="I16" i="1"/>
  <c r="F132" i="1"/>
  <c r="F113" i="1"/>
  <c r="I231" i="1"/>
  <c r="E112" i="1"/>
  <c r="I271" i="1"/>
  <c r="F7" i="4"/>
  <c r="I116" i="1"/>
  <c r="E117" i="1"/>
  <c r="E50" i="1"/>
  <c r="E10" i="1" s="1"/>
  <c r="E51" i="1"/>
  <c r="E11" i="1" s="1"/>
  <c r="F54" i="1"/>
  <c r="F67" i="1"/>
  <c r="F62" i="1"/>
  <c r="E227" i="1"/>
  <c r="I121" i="1"/>
  <c r="F118" i="1"/>
  <c r="E52" i="1"/>
  <c r="F72" i="1"/>
  <c r="E12" i="1" l="1"/>
  <c r="F12" i="1" s="1"/>
  <c r="F14" i="1"/>
  <c r="F227" i="1"/>
  <c r="F112" i="1"/>
  <c r="F117" i="1"/>
  <c r="F48" i="1"/>
  <c r="F8" i="1"/>
  <c r="F52" i="1"/>
  <c r="F49" i="1"/>
  <c r="F9" i="1"/>
  <c r="E47" i="1"/>
  <c r="I11" i="1" l="1"/>
  <c r="I21" i="1"/>
  <c r="I26" i="1"/>
  <c r="I31" i="1"/>
  <c r="F47" i="1"/>
  <c r="E7" i="1"/>
  <c r="F7" i="1" s="1"/>
  <c r="H9" i="2"/>
  <c r="I9" i="2"/>
  <c r="H10" i="2"/>
  <c r="I10" i="2"/>
  <c r="N10" i="2" s="1"/>
  <c r="N7" i="2" s="1"/>
  <c r="E5" i="4" s="1"/>
  <c r="I11" i="2"/>
  <c r="I20" i="2"/>
  <c r="H8" i="2"/>
  <c r="M20" i="2"/>
  <c r="M9" i="2"/>
  <c r="M10" i="2"/>
  <c r="M11" i="2"/>
  <c r="M8" i="2"/>
  <c r="M7" i="2" l="1"/>
  <c r="D5" i="4" s="1"/>
  <c r="M14" i="2"/>
  <c r="D6" i="4" s="1"/>
  <c r="D7" i="4"/>
  <c r="G8" i="4" l="1"/>
  <c r="H8" i="4" s="1"/>
  <c r="G6" i="4"/>
  <c r="H6" i="4" s="1"/>
  <c r="G7" i="4" l="1"/>
  <c r="H7" i="4" s="1"/>
  <c r="F5" i="4" l="1"/>
  <c r="G5" i="4" s="1"/>
  <c r="H5" i="4" s="1"/>
</calcChain>
</file>

<file path=xl/comments1.xml><?xml version="1.0" encoding="utf-8"?>
<comments xmlns="http://schemas.openxmlformats.org/spreadsheetml/2006/main">
  <authors>
    <author>Автор</author>
  </authors>
  <commentList>
    <comment ref="B107" authorId="0" shapeId="0">
      <text>
        <r>
          <rPr>
            <b/>
            <sz val="10"/>
            <color indexed="81"/>
            <rFont val="Tahoma"/>
            <family val="2"/>
            <charset val="204"/>
          </rPr>
          <t>В соответствии с Постановлением Правительства Мурманской области от 29.03.2024 № 203-ПП "О выделении денежных средств из резервного фонда Правительства Мурманской области" на мероприятия по текущему ремонту квартир для нужд лиц, относящихся к категории детей-сирот и детей, оставшихся без попечения родителей,  предусмотрена субвенция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 в сумме 9 100,9 тыс. руб. (далее – Межбюджетный трансферт). В действующей редакции подпрограммы муниципальной программы города Мурманска Межбюджетный трансферт не учтен, объем бюджетных ассигнований на финансовое обеспечение реализации подпрограммы  муниципальной программы за счет средств Межбюджетного трансферта не утвержден решением Совета депутатов города Мурманска о бюджете муниципального образования город Мурманск на 2024 год и на плановый период 2025 и 2026 годов.
Изменения в подпрограмму  муниципальной программы будут направлены в сроки, в соответствии с постановлением администрации города Мурманска от 06.07.2022 № 1860 "Об утверждении порядка разработки, реализации и оценки эффективности муниципальных программ города Мурманска".</t>
        </r>
        <r>
          <rPr>
            <b/>
            <sz val="9"/>
            <color indexed="81"/>
            <rFont val="Tahoma"/>
            <family val="2"/>
            <charset val="204"/>
          </rPr>
          <t xml:space="preserve">
</t>
        </r>
      </text>
    </comment>
  </commentList>
</comments>
</file>

<file path=xl/sharedStrings.xml><?xml version="1.0" encoding="utf-8"?>
<sst xmlns="http://schemas.openxmlformats.org/spreadsheetml/2006/main" count="883" uniqueCount="304">
  <si>
    <t>№ п/п</t>
  </si>
  <si>
    <t>Муниципальная программа, подпрограмма, основное мероприятие, мероприятие</t>
  </si>
  <si>
    <t>Объемы и источники финансирования 
(тыс. руб.)</t>
  </si>
  <si>
    <t>Заплани-ровано на отчетный год</t>
  </si>
  <si>
    <t>Степень освое-ния средств</t>
  </si>
  <si>
    <t>Результаты выполнения мероприятий</t>
  </si>
  <si>
    <t>Ожидаемые результаты реализации (краткая характеристика) мероприятий</t>
  </si>
  <si>
    <t>Фактические результаты реализации (краткая характеристика) мероприятий</t>
  </si>
  <si>
    <t xml:space="preserve">Выполне-ние (да / нет / частично) </t>
  </si>
  <si>
    <t>Соисполнители</t>
  </si>
  <si>
    <t>Причины низкой степени освоения средств, невыполнения мероприятий</t>
  </si>
  <si>
    <t>Источник</t>
  </si>
  <si>
    <t xml:space="preserve">Фактическое исполнение </t>
  </si>
  <si>
    <t>Всего:</t>
  </si>
  <si>
    <t>МБ</t>
  </si>
  <si>
    <t>ФБ</t>
  </si>
  <si>
    <t>ОБ</t>
  </si>
  <si>
    <t>ВБ</t>
  </si>
  <si>
    <t xml:space="preserve">Количество мероприятий, всего, в т.ч. </t>
  </si>
  <si>
    <t>Выполнены в полном объеме</t>
  </si>
  <si>
    <t>Выполнены частично</t>
  </si>
  <si>
    <t>Не выполнены</t>
  </si>
  <si>
    <t>Степень выполнения мероприятий</t>
  </si>
  <si>
    <t>-</t>
  </si>
  <si>
    <t>КСПВООДМ</t>
  </si>
  <si>
    <t>1.</t>
  </si>
  <si>
    <t>1.1.</t>
  </si>
  <si>
    <t>1.1.1.</t>
  </si>
  <si>
    <t>2.</t>
  </si>
  <si>
    <t>2.1.1.</t>
  </si>
  <si>
    <t>2.1.2.</t>
  </si>
  <si>
    <t>2.1.</t>
  </si>
  <si>
    <t>3.1.</t>
  </si>
  <si>
    <t>3.1.1.</t>
  </si>
  <si>
    <t>3.1.2.</t>
  </si>
  <si>
    <t>Отчет о ходе реализации муниципальной программы</t>
  </si>
  <si>
    <t>Муниципальная программа, подпрограмма, показатель</t>
  </si>
  <si>
    <t>Ед. изм.</t>
  </si>
  <si>
    <t>Направ-ленность</t>
  </si>
  <si>
    <t>Значение показателя</t>
  </si>
  <si>
    <t>факт</t>
  </si>
  <si>
    <t>план</t>
  </si>
  <si>
    <t>Степень достиже-ния показателя (ДП)</t>
  </si>
  <si>
    <t xml:space="preserve">Причины отклонения от плана и (или) отсутствия положительной динамики </t>
  </si>
  <si>
    <t>Предлагаемые меры по улучшению значений показателя</t>
  </si>
  <si>
    <t>Степень достижения показателя для расчета К1</t>
  </si>
  <si>
    <t>Динамика значения показателя для расчета К2</t>
  </si>
  <si>
    <t>0.1.</t>
  </si>
  <si>
    <t>0.2.</t>
  </si>
  <si>
    <t>0.3.</t>
  </si>
  <si>
    <t>0.4.</t>
  </si>
  <si>
    <t>0.5.</t>
  </si>
  <si>
    <t>1.2.</t>
  </si>
  <si>
    <t>1.3.</t>
  </si>
  <si>
    <t>1.4.</t>
  </si>
  <si>
    <t xml:space="preserve">2. </t>
  </si>
  <si>
    <t>Динамика значения показателя по сравнению с предшествующим годом (Дин)</t>
  </si>
  <si>
    <t>Соисполнитель, ответственный за выполнение показателя</t>
  </si>
  <si>
    <t>Информация о реализации мер финансовой поддержки в сфере реализации муниципальной программы</t>
  </si>
  <si>
    <t>в 2023 году</t>
  </si>
  <si>
    <t>Муниципальная программа, подпрограмма</t>
  </si>
  <si>
    <t>Ответственный исполнитель</t>
  </si>
  <si>
    <t>К1 (степень достижения показателей)</t>
  </si>
  <si>
    <t>К2 (динамика значений показателей по сравнению с предшествующим годом)</t>
  </si>
  <si>
    <t>К3 (степень выполнения мероприятий)</t>
  </si>
  <si>
    <t>ЭГП (интегральный показатель эффективности)</t>
  </si>
  <si>
    <t>Оценка</t>
  </si>
  <si>
    <t>Наименование меры финансовой поддержки</t>
  </si>
  <si>
    <t>Цель предоставления</t>
  </si>
  <si>
    <t>Нормативный акт</t>
  </si>
  <si>
    <t>Связь с показателями муниципальной программы</t>
  </si>
  <si>
    <t>Информация о реализации</t>
  </si>
  <si>
    <t>Мероприятие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</si>
  <si>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 xml:space="preserve">3. </t>
  </si>
  <si>
    <t>3.2.</t>
  </si>
  <si>
    <t>Подпрограмма 4 "Поддержка общественных и гражданских инициатив в городе Мурманске"</t>
  </si>
  <si>
    <t xml:space="preserve">4. </t>
  </si>
  <si>
    <t>4.1.</t>
  </si>
  <si>
    <t>4.1.1.</t>
  </si>
  <si>
    <t>4.1.2.</t>
  </si>
  <si>
    <t>4.1.3.</t>
  </si>
  <si>
    <t>Мероприятие "Расходы на выплаты по оплате труда работников органов местного самоуправления"</t>
  </si>
  <si>
    <t>Мероприятие "Расходы на обеспечение функций работников органов местного самоуправления"</t>
  </si>
  <si>
    <t>%</t>
  </si>
  <si>
    <t>3.</t>
  </si>
  <si>
    <t>1.5.</t>
  </si>
  <si>
    <t>«Социальная поддержка» на 2023-2028 годы</t>
  </si>
  <si>
    <t>Муниципальная программа «Социальная поддержка»</t>
  </si>
  <si>
    <t>КО</t>
  </si>
  <si>
    <t>КИО</t>
  </si>
  <si>
    <t>КТРиС</t>
  </si>
  <si>
    <t>КРГХ</t>
  </si>
  <si>
    <t>КЖП</t>
  </si>
  <si>
    <t>КК</t>
  </si>
  <si>
    <t>Основное мероприятие "Устройство детей-сирот и детей, оставшихся без попечения родителей в семьи опекунов, попечителей, приемные семьи"</t>
  </si>
  <si>
    <t>1.1.1.1.</t>
  </si>
  <si>
    <t>1.1.1.2</t>
  </si>
  <si>
    <t>1.1.1.3.</t>
  </si>
  <si>
    <t>Мероприятие "Субвенция на содержание ребенка в семье опекуна (попечителя) и приемной семье, а также вознаграждение, причитающееся приемному родителю"</t>
  </si>
  <si>
    <t>Мероприятие "Предоставление полного государственного обеспечения детям - сиротам и детям, оставшимся без попечения родителей, воспитывающимся в семьях опекунов, попечителей"</t>
  </si>
  <si>
    <t>Мероприятие "Предоставление полного государственного обеспечения детям - сиротам и детям, оставшимся без попечения родителей, воспитывающимся в приемных семьях"</t>
  </si>
  <si>
    <t>Мероприятие "Предоставление вознаграждения приемному родителю"</t>
  </si>
  <si>
    <t>1.2.1.</t>
  </si>
  <si>
    <t>1.2.2.</t>
  </si>
  <si>
    <t>1.2.3.</t>
  </si>
  <si>
    <t>1.2.4.</t>
  </si>
  <si>
    <t>1.2.5.</t>
  </si>
  <si>
    <t>Основное мероприятие "Обеспечение защиты жилищных и имущественных прав детей-сирот и детей, оставшихся без попечения родителей, лиц из их числа, профилактика социального сиротства"</t>
  </si>
  <si>
    <t>Мероприятие "Субвенция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</si>
  <si>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Мероприятие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</si>
  <si>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Мероприятие "Субвенция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</si>
  <si>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Мероприятие "Организация мероприятий по ремонту квартир (жилых помещений), закрепленных за лицами из числа детей-сирот и детей, оставшихся без попечения родителей"</t>
  </si>
  <si>
    <t>Мероприятие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 сиротами и детьми, оставшимися без попечения родителей, лицами из числа детей-сирот и детей, оставшихся без попечения родителей"</t>
  </si>
  <si>
    <t>Мероприятие "Обеспечение социальных гарантий и усиление адресной направленности дополнительных мер социальной поддержки отдельных категорий граждан"</t>
  </si>
  <si>
    <t>Мероприятие "Организация мероприятий по выполнению текущего ремонта квартир ветеранов Великой Отечественной войны"</t>
  </si>
  <si>
    <t>Мероприятие "Предоставление дополнительного пенсионного обеспечения муниципальным служащим в органах местного самоуправления муниципального образования город Мурманск и лицам, замещавшим муниципальные должности в муниципальном образовании город Мурманск"</t>
  </si>
  <si>
    <t>2.1.3.</t>
  </si>
  <si>
    <t>2.1.4.</t>
  </si>
  <si>
    <t>Подпрограмма 2 "Социальная поддержка отдельных категорий граждан"</t>
  </si>
  <si>
    <t>КТРиС, КСПВООДМ</t>
  </si>
  <si>
    <t>2.2.</t>
  </si>
  <si>
    <t>2.2.2.</t>
  </si>
  <si>
    <t>2.2.3.</t>
  </si>
  <si>
    <t>2.2.1.</t>
  </si>
  <si>
    <t>2.3.</t>
  </si>
  <si>
    <t>2.3.1.</t>
  </si>
  <si>
    <t>2.3.2.</t>
  </si>
  <si>
    <t>2.3.3.</t>
  </si>
  <si>
    <t>2.3.4.</t>
  </si>
  <si>
    <t>Основное мероприятие: обеспечение реализации льгот лицам, удостоенным звания "Почетный гражданин города-героя Мурманска"</t>
  </si>
  <si>
    <t>Мероприятие "Реализация положения о звании "Почетный гражданин города-героя Мурманска" в части предоставления ежемесячной доплаты к государственной (трудовой) пенсии"</t>
  </si>
  <si>
    <t>Мероприятие "Реализация положения о звании "Почетный гражданин города-героя Мурманска" в части предоставления ежегодной единовременной материальной помощи на санаторное лечение и оздоровительные мероприятия"</t>
  </si>
  <si>
    <t>Мероприятие "Реализация положения о звании "Почетный гражданин города-героя Мурманска" в части обеспечения единым социальным проездным билетом"</t>
  </si>
  <si>
    <t>Мероприятие "Реализация положения о звании "Почетный гражданин города-героя Мурманска" в части возмещения расходов за ритуальные услуги, оказанные специализированными организациями"</t>
  </si>
  <si>
    <t>2.4.</t>
  </si>
  <si>
    <t>2.4.1.</t>
  </si>
  <si>
    <t>Основное мероприятие: предоставление и организация выплаты вознаграждения опекунам совершеннолетних недееспособных граждан</t>
  </si>
  <si>
    <t>Мероприятие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</si>
  <si>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2.5.</t>
  </si>
  <si>
    <t>2.5.1.</t>
  </si>
  <si>
    <t>2.6.</t>
  </si>
  <si>
    <t>2.6.1.</t>
  </si>
  <si>
    <t>Основное мероприятие: предоставление субсидий юридическим лицам, индивидуальным предпринимателям на возмещение затрат, связанных с оказанием мер социальной поддержки отдельным категориям граждан по оплате жилья и коммунальных услуг</t>
  </si>
  <si>
    <t>Мероприятие "Возмещение  юридическим лицам, индивидуальным предпринимателям затрат, связанных с оказанием мер социальной поддержки жителям и защитникам блокадного Ленинграда по оплате жилья и коммунальных услуг"</t>
  </si>
  <si>
    <t>2.7.</t>
  </si>
  <si>
    <t>2.7.1.</t>
  </si>
  <si>
    <t>Основное мероприятие: возмещение расходов по гарантированному перечню услуг по погребению</t>
  </si>
  <si>
    <t>Мероприятие "Субвенция на возмещение расходов по гарантированному перечню услуг по погребению"</t>
  </si>
  <si>
    <t>КО, КИО, КТРиС</t>
  </si>
  <si>
    <t>3.1.3.</t>
  </si>
  <si>
    <t>3.1.4.</t>
  </si>
  <si>
    <t>3.1.5.</t>
  </si>
  <si>
    <t>3.1.6.</t>
  </si>
  <si>
    <t>Мероприятие "Приобретение оборудования и технических средств адаптации для оснащения муниципальных образовательных учреждений города Мурманска, реализующих образовательные программы дошкольного, начального общего, основного общего, среднего общего и дополнительного образования"</t>
  </si>
  <si>
    <t>Мероприятие "Приобретение оборудования и технических средств адаптации для оснащения учреждений культуры и дополнительного образования (детских школ искусств (по видам искусств)"</t>
  </si>
  <si>
    <t>Мероприятие "Приобретение оборудования и технических средств адаптации для оснащения учреждений молодежной политики"</t>
  </si>
  <si>
    <t>Мероприятие "Субсидия муниципальным образованиям на обеспечение условий доступности входных групп многоквартирных домов с учетом потребностей инвалидов "</t>
  </si>
  <si>
    <t>Мероприятие "Софинансирование за счет средств местного бюджета к субсидии из областного бюджета на обеспечение условий доступности входных групп многоквартирных домов с учетом потребностей инвалидов"</t>
  </si>
  <si>
    <t>Подпрограмма 3 "Создание доступной среды для инвалидов и других маломобильных групп населения на территории города Мурманска"</t>
  </si>
  <si>
    <t>Основное мероприятие: эффективное управление в сфере предоставления населению города дополнительных мер социальной поддержки и оказания социальной помощи, в области взаимодействия с социально ориентированными некоммерческими организациями и общественными объединениями, в области муниципальной молодежной политики</t>
  </si>
  <si>
    <t>Мероприятие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</si>
  <si>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4.1.4.</t>
  </si>
  <si>
    <t>4.1.5.</t>
  </si>
  <si>
    <t>Мероприятие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</si>
  <si>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КТРиС, КСПВООДМ, КЖП, КРГХ</t>
  </si>
  <si>
    <t>КО, КТРиС, КК, КСПВООДМ</t>
  </si>
  <si>
    <t>Муниципальная программа "Социальная поддержка"</t>
  </si>
  <si>
    <t>0.6.</t>
  </si>
  <si>
    <t>Доля детей-сирот и детей, оставшихся без попечения родителей, устроенных в замещающие семьи, от общей численности детей-сирот и детей, оставшихся без попечения родителей</t>
  </si>
  <si>
    <t>Доля детей-сирот и детей, оставшихся без попечения родителей, охваченных дополнительными мерами социальной поддержки в соответствии с нормативными правовыми актами Мурманской области, от общего числа детей-сирот и детей, оставшихся без попечения родителей, имеющих право на дополнительные меры социальной поддержки</t>
  </si>
  <si>
    <t>Общее количество граждан, получивших дополнительные меры социальной поддержки и оказанные услуги</t>
  </si>
  <si>
    <t>чел</t>
  </si>
  <si>
    <t>Доля организаций, индивидуальных предпринимателей, получивших субсидию на возмещение затрат, связанных с оказанием мер социальной поддержки отдельным категориям граждан по оплате жилья и коммунальных услуг, от общего числа обратившихся за ее получением</t>
  </si>
  <si>
    <t>Количество объектов социальной инфраструктуры, в которых реализуются мероприятия по обеспечению условий доступности для инвалидов и других маломобильных групп населения (нарастающим итогом)</t>
  </si>
  <si>
    <t>Доля фактически приспособленных жилых помещений и (или) общедомового имущества в многоквартирных домах с учетом потребностей инвалидов от запланированного количества (на соответствующий год)</t>
  </si>
  <si>
    <t xml:space="preserve">КСПВООДМ, КЖП, КРГХ, КТРИС
</t>
  </si>
  <si>
    <t xml:space="preserve">КСПВООДМ, КО, КК
</t>
  </si>
  <si>
    <t xml:space="preserve">Подпрограмма 1 "Оказание мер социальной поддержки детям-сиротам и детям, оставшимся без попечения родителей, лицам из их числа"
</t>
  </si>
  <si>
    <t>1.6.</t>
  </si>
  <si>
    <t xml:space="preserve">Количество детей-сирот и детей, оставшихся без попечения родителей, воспитывающихся в семьях опекунов, попечителей
</t>
  </si>
  <si>
    <t>ед</t>
  </si>
  <si>
    <t>Количество детей-сирот и детей, оставшихся без попечения родителей, воспитывающихся в приемных семьях</t>
  </si>
  <si>
    <t>Число детей, над которыми установлен социальный и постинтернатный патронат</t>
  </si>
  <si>
    <t>Число детей-сирот и детей, оставшихся без попечения родителей, лиц из их числа, которым предоставлена ежемесячная жилищно-коммунальная выплата</t>
  </si>
  <si>
    <t>Число детей-сирот и детей, оставшихся без попечения родителей, лиц из их числа, которым предоставлены благоустроенные жилые помещения специализированного жилищного фонда по договорам найма специализированных жилых помещений</t>
  </si>
  <si>
    <t>Число детей-сирот и детей, оставшихся без попечения родителей, лиц из их числа, которым осуществлен ремонт жилых помещений, собственниками которых они являются, либо текущий ремонт жилых помещений, право пользования которыми за ними сохранено</t>
  </si>
  <si>
    <t xml:space="preserve">Подпрограмма 2 "Социальная поддержка отдельных категорий граждан".
</t>
  </si>
  <si>
    <t>2.8.</t>
  </si>
  <si>
    <t>2.9.</t>
  </si>
  <si>
    <t>2.10.</t>
  </si>
  <si>
    <t xml:space="preserve">Количество трудоустроенных граждан
</t>
  </si>
  <si>
    <t>Количество граждан, которым были предоставлены дополнительные меры социальной поддержки</t>
  </si>
  <si>
    <t>Количество отремонтированных квартир ветеранов Великой Отечественной войны</t>
  </si>
  <si>
    <t>Количество выплат на возмещение стоимости услуг по погребению умерших</t>
  </si>
  <si>
    <t>Количество опекунов совершеннолетних недееспособных граждан, получающих вознаграждение</t>
  </si>
  <si>
    <t>Количество граждан, получивших материальную помощь</t>
  </si>
  <si>
    <t>Количество участников и инвалидов Великой Отечественной войны, получивших единовременную материальную помощь</t>
  </si>
  <si>
    <t>Количество получателей льгот, установленных Почетным гражданам города-героя Мурманска и членам их семей</t>
  </si>
  <si>
    <t>Количество получателей ежемесячной жилищно-коммунальной выплаты</t>
  </si>
  <si>
    <t>Количество юридических лиц, индивидуальных предпринимателей, которым предоставлена субсидия на возмещение затрат, связанных с оказанием мер социальной поддержки отдельным категориям граждан по оплате жилья и коммунальных услуг</t>
  </si>
  <si>
    <t>КТРиС, КО</t>
  </si>
  <si>
    <t>3.3.</t>
  </si>
  <si>
    <t>3.4.</t>
  </si>
  <si>
    <t>3.5.</t>
  </si>
  <si>
    <t xml:space="preserve">Подпрограмма 3 "Создание доступной среды для инвалидов и других маломобильных групп населения на территории города Мурманска".
</t>
  </si>
  <si>
    <t>Количество объектов дошкольного, общего и дополнительного образования, в которых реализованы мероприятия по обеспечению доступности для инвалидов и других маломобильных групп населения (нарастающим итогом)</t>
  </si>
  <si>
    <t xml:space="preserve">Количество учреждений культуры и дополнительного образования (детских школ искусств (по видам искусств), в которых реализованы мероприятия по обеспечению условий доступности для инвалидов и других маломобильных групп населения, подведомственных комитету по культуре администрации города Мурманска (нарастающим итогом)
</t>
  </si>
  <si>
    <t>Количество приспособленных жилых помещений и (или) общедомового имущества в многоквартирных домах с учетом потребностей инвалидов</t>
  </si>
  <si>
    <t>Количество объектов МАУ МП "Объединение молодежных центров", в которых реализованы мероприятия по обеспечению доступности для инвалидов и других маломобильных групп населения (нарастающим итогом)</t>
  </si>
  <si>
    <t>Количество приспособленных входных групп многоквартирных домов с учетом потребностей инвалидов</t>
  </si>
  <si>
    <t>Оценка эффективности реализации муниципальной программы «Социальная поддержка»</t>
  </si>
  <si>
    <t>Подпрограмма 1 "Оказание мер социальной поддержки детям-сиротам и детям, оставшимся без попечения родителей, лицам из их числа" на 2023 - 2028 годы</t>
  </si>
  <si>
    <t>Подпрограмма 2 "Социальная поддержка отдельных категорий граждан" на 2023 - 2028 годы</t>
  </si>
  <si>
    <t>Подпрограмма 3 "Создание доступной среды для инвалидов и других маломобильных групп населения на территории города Мурманска" на 2023 - 2028 годы</t>
  </si>
  <si>
    <t>Возмещение юридическим лицам, индивидуальным предпринимателям затрат, связанных с оказанием мер социальной поддержки жителям и защитникам блокадного Ленинграда по оплате жилья и коммунальных услуг</t>
  </si>
  <si>
    <t>Возмещение затрат управляющих организаций, ТСЖ, ЖСК, ресурсоснабжающих организаций и индивидуальных предпринимателей по оказанию мер социальной поддержки жителям и защитникам блокадного Ленинграда по оплате жилья и коммунальных услуг</t>
  </si>
  <si>
    <t>Решение Мурманского городского Совета от 21.12.1990 N 9 "О дополнительных льготах бывшим жителям или защитникам блокадного Ленинграда", постановление администрации города Мурманска от 13.11.2017 N 3614 "Об утверждении порядка возмещения юридическим лицам, индивидуальным предпринимателям затрат, связанных с оказанием мер социальной поддержки жителям или защитникам блокадного Ленинграда по оплате жилья и коммунальных услуг", постановление администрации города Мурманска от 13.11.2017 3613 "Об утверждении порядка возмещения некоммерческим организациям затрат, связанных с оказанием мер социальной поддержки жителям или защитникам блокадного Ленинграда по оплате жилья и коммунальных услуг"</t>
  </si>
  <si>
    <t xml:space="preserve">Возмещение юридическим лицам, индивидуальным предпринимателям затрат, связанных с оказанием мер социальной поддержки жителям и защитникам блокадного Ленинграда по оплате жилья и коммунальных услуг
Возмещение затрат управляющих организаций, ТСЖ, ЖСК, ресурсоснабжающих организаций и индивидуальных предпринимателей по оказанию мер социальной поддержки жителям и защитникам блокадного Ленинграда по оплате жилья и коммунальных услугРешение Мурманского городского Совета от 21.12.1990 N 9 "О дополнительных льготах бывшим жителям или защитникам блокадного Ленинграда", постановление администрации города Мурманска от 13.11.2017 N 3614 "Об утверждении порядка возмещения юридическим лицам, индивидуальным предпринимателям затрат, связанных с оказанием мер социальной поддержки жителям или защитникам блокадного Ленинграда по оплате жилья и коммунальных услуг", постановление администрации города Мурманска от 13.11.2017 3613 "Об утверждении порядка возмещения некоммерческим организациям затрат, связанных с оказанием мер социальной поддержки жителям или защитникам блокадного Ленинграда по оплате жилья и коммунальных услуг"0.4. Доля организаций, индивидуальных предпринимателей, получивших субсидию на возмещение затрат, связанных с оказанием мер социальной поддержки отдельным категориям граждан по оплате жилья и коммунальных услуг, от общего числа обратившихся за ее получением.
2.10. Количество юридических лиц, индивидуальных предпринимателей, которым предоставлена субсидия на возмещение затрат, связанных с оказанием мер социальной поддержки отдельным категориям граждан по оплате жилья и коммунальных услуг
</t>
  </si>
  <si>
    <t>Фактическое количество выплат</t>
  </si>
  <si>
    <t>Оплата труда работников органов местного самоуправления</t>
  </si>
  <si>
    <t>Осуществление переданных государственных полномочий</t>
  </si>
  <si>
    <t xml:space="preserve">Дефицит строительства многоквартирных домов на территории города Мурманска, нестабильность цен на рынке недвижимости города Мурманска с периодами значительного роста, отсутствие жилых помещений на вторичном рынке жилья с требуемыми характеристиками </t>
  </si>
  <si>
    <t xml:space="preserve">Возмещение 3 ЮЛ и ИП затрат связанных с оказанием мер социальной поддержки жителям или защитникам блокадного Ленинграда по оплате жилья и коммунальных услуг. На реализацию мероприятия выделено 16,1 тыс. руб. Из них освоено 13,4 тыс. руб., что составляет 83,23% от запланированного на отчетный год объема средств. Невысокий показатель исполнения обусловлен заявительным
характером предоставления субсидии, а также сократилось количество носителей льгот (с 9 человек до 5 человек).
</t>
  </si>
  <si>
    <t>Расторжение муниципального контракта № 223 от 25.08.2022 - не выполнены работы по 3-му этапу в связи со смертью инвалида</t>
  </si>
  <si>
    <t>По муниципальному контракту № 85 от 03.04.2023 не предоставлены документы о выполнении работ, идет судебный процесс</t>
  </si>
  <si>
    <t>Снижение общей численности детей-сирот; заявительный характер; 60% лиц из числа детей-сирот обеспечены жильем во второй половине года</t>
  </si>
  <si>
    <t>Снижение общей численности детей-сирот;  увеличение доли детей-сирот, устроенных в приемные семьи; выпуск  детей-сирот из семьи по достижении 18 лет или выбытие на ПМЖ в другой субъект РФ</t>
  </si>
  <si>
    <t>Обеспечение функций работников органов местного самоуправления</t>
  </si>
  <si>
    <t>Заявительный характер  мероприятия</t>
  </si>
  <si>
    <t>Заявительный характер мероприятия</t>
  </si>
  <si>
    <t>Фактическое число получателей материальной помощи не подлежит точному прогнозированию</t>
  </si>
  <si>
    <t>Увеличение количества жилых помещений для предоставления детям-сиротам и детям, оставшимся без попечения родителей, за счет выселения граждан, лишенных родительских прав, в судебном порядке по требованию органа опеки и попечительства в другое жилое помещение по договору социального найма, размер которого соответствует размеру жилого помещения, установленному для вселения граждан в общежити, если совместное проживание граждан с детьми, в отношении которых они лишены родительских прав, признано судом невозможным.</t>
  </si>
  <si>
    <t>за 1 полугодие  2024 года</t>
  </si>
  <si>
    <t>Основное мероприятие: обеспечение дополнительных мер социальной поддержки отдельных категорий граждан</t>
  </si>
  <si>
    <t>Основное мероприятие: оказание материальной поддержки отдельным категориям граждан</t>
  </si>
  <si>
    <t xml:space="preserve">Мероприятие: "Оказание материальной помощи лицам, оказавшимся в трудной жизненной" </t>
  </si>
  <si>
    <t>Мероприятие: "Оказание материальной помощи инвалидам"</t>
  </si>
  <si>
    <t>Мероприятие: "Единовременная материальная помощь участникам и инвалидам Великой Отечественной войны в связи с празднованием Дня Победы"</t>
  </si>
  <si>
    <t xml:space="preserve">Основное мероприятие: реализация прав на меры социальной поддержки отдельных категорий граждан в связи с упразднением поселка городского типа Росляково
</t>
  </si>
  <si>
    <t>Мероприятие "Субвенция бюджету муниципального образования городской округ город-герой Мурманск на реализацию Закона Мурманской области от 19.12.2014 № 1811-01-ЗМО "О сохранении права на меры социальной поддержки отдельных категорий граждан в связи с упразднением поселка городского типа Росляково" в части предоставления мер социальной поддержки по оплате жилого помещения и (или) коммунальных услуг"</t>
  </si>
  <si>
    <t xml:space="preserve">Основное мероприятие: проведение мероприятий по адаптации объектов социальной инфраструктуры для инвалидов и других маломобильных групп населения </t>
  </si>
  <si>
    <t xml:space="preserve">Мероприятие "Приспособление жилых помещенийи (или) общего имущества в многоквартирных домах с учетом потребностей инвалидов, в том числе обследования, изыскания, экспертизы"  </t>
  </si>
  <si>
    <t>Подпрограмма 4 "Обеспечение деятельности комитета по социальной поддержке, взаимодействию с общественными организациями и делам молодежи администрации города Мурманска"</t>
  </si>
  <si>
    <t>да</t>
  </si>
  <si>
    <t>0.1. Сохранение значения показателя "0.1. Доля детей-сирот и детей, оставшихся без попечения родителей, устроенных в замещающие семьи, от общей численности детей-сирот и детей, оставшихся без попечения родителей" на уровне 94%.</t>
  </si>
  <si>
    <t>Детям указанной категории за время пребывания в приемных семьях полное государственное обеспечение предоставляется ежемесячно. Среднегодовая численность детей-сирот и детей, оставшихся без попечения родителей, воспитывающихся в приемных семьях, на отчетную дату составляет 262,1 человека. (Исполнение показателя составило 95,3%)</t>
  </si>
  <si>
    <t>частично</t>
  </si>
  <si>
    <t>Число детей-сирот и детей, оставшихся без попечения родителей, лиц из их числа, которым осуществлен ремонт жилых помещений, собственниками которых они являются, либо текущий ремонт жилых помещений, право пользования которыми за ними сохранено - 8 чел.</t>
  </si>
  <si>
    <t xml:space="preserve">На конец 2024 года 51 объект дошкольного, общего и дополнительного образования, в которых реализованы мероприятия по обеспечению доступности для инвалидов и других маломобильных групп населения (нарастающим итогом) </t>
  </si>
  <si>
    <t>Субвенция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t>
  </si>
  <si>
    <t>Всего</t>
  </si>
  <si>
    <t>Обеспечение предоставления субсидии на возмещение затрат, связанных с оказанием мер социальной поддержки отдельным категориям граждан по оплате жилья и коммунальных услуг, 10 ЮЛ и ИП до конца 2028 года</t>
  </si>
  <si>
    <t>Предоставлена субсидия на возмещение затрат, связанных с оказанием мер социальной поддержки отдельным категориям граждан по оплате жилья и коммунальных услуг, 2 ЮЛ</t>
  </si>
  <si>
    <t>Обеспечение предоставления ежемесячной жилищно-коммунальной выплаты 73 получателям до конца 2028 года</t>
  </si>
  <si>
    <t xml:space="preserve">Предоставлена ежемесячная жилищно-коммунальная выплата 62 получателям </t>
  </si>
  <si>
    <t>Количество отремонтированных квартир ветеранов Великой Отечественной войны - 1 ед.</t>
  </si>
  <si>
    <t>нет</t>
  </si>
  <si>
    <t xml:space="preserve">Заявительный характер предоставления субсидии. Уменьшение количества получателей субсидии, сокращение носителей льгот </t>
  </si>
  <si>
    <t xml:space="preserve">Возмещения расходов за ритуальные услуги, оказанные специализированными организациями </t>
  </si>
  <si>
    <t xml:space="preserve">Заявительный характер </t>
  </si>
  <si>
    <t>Заявительный характер</t>
  </si>
  <si>
    <t>Выплата будет приурочена к международному дню инвалидов, который отмечается 3 декабря.</t>
  </si>
  <si>
    <t>Предоставление дополнительного пенсионного обеспечения муниципальным служащим в органах местного самоуправления муниципального образования город Мурманск и лицам, замещавшим муниципальные должности в муниципальном образовании город Мурманск</t>
  </si>
  <si>
    <t>Количество выплат обусловлено фактическим количеством захороненных граждан, относящихся к категории граждан в соответствии с переданными государственными полномочиями</t>
  </si>
  <si>
    <t>В соответствии с законом Мурманской области от 08.06.2018 № 2263-01-ЗМО "О внесении изменений в Закон Мурманской области "О возмещении стоимости услуг и выплате социального пособия на погребение" органам местного самоуправления переданы государственные полномочия по возмещению специализировангой службе по вопросам похоронного дела стоимости услуг по погребению умерших, не работавших и не являвшихся пенсионерами, а также в случае рождения мертвого ребенка по истечении 154 дней беременности</t>
  </si>
  <si>
    <t>Предоставлено 22 выплаы</t>
  </si>
  <si>
    <t>Количество приспособленных жилых помещений и (или) общественного имущества в многоквартирных домах с учетом потребностей инвалидов - 10 ед.</t>
  </si>
  <si>
    <t>Количество приспособленных жилых помещений и (или) общественного имущества в многоквартирных домах с учетом потребностей инвалидов - 0 ед.</t>
  </si>
  <si>
    <t xml:space="preserve">Предоставление выплаты вознаграждения 50 опекунам совершеннолетних недееспособных граждан </t>
  </si>
  <si>
    <t>Выплата предоставлена 58 опекунам совершеннолетних недееспособных граждан (116 % от плана)</t>
  </si>
  <si>
    <t>Исполнителем мероприятий ММКУ УКС заключены муниципальные контракты:
1) от 24.04.2024 № 118 на сумму 499,5 тыс. руб. на работы по текущему ремонту объекта: "Квартира ветерана Великой Отечественной войны, расположенная по адресу: улица Героев Рыбачьего, дом 37, квартира 156 в городе Мурманске" (в целях социального обеспечения), со сроком окончания работ - 03.08.2024.
Муниципальный контракт находится на исполнении.
2) от 14.05.2024 № 140 на сумму 66,5 тыс руб. на работы по текущему ремонту объекта: "Квартира ветерана Великой Отечественной войны, расположенная по адресу, улица Володарского, дом 14а, квартира 29 в городе Мурманске" (в целях социального обеспечения). Работы по муниципальному контракту выполнены, оплата произведен</t>
  </si>
  <si>
    <t>Трудоустроено 53 гражданина</t>
  </si>
  <si>
    <r>
      <t xml:space="preserve">Осуществление выплаты </t>
    </r>
    <r>
      <rPr>
        <i/>
        <sz val="11"/>
        <rFont val="Times New Roman"/>
        <family val="1"/>
        <charset val="204"/>
      </rPr>
      <t xml:space="preserve">39 </t>
    </r>
    <r>
      <rPr>
        <i/>
        <sz val="11"/>
        <color theme="1"/>
        <rFont val="Times New Roman"/>
        <family val="1"/>
        <charset val="204"/>
      </rPr>
      <t xml:space="preserve">участникам Великой Отечественной войны и инвалидам Великой Отечественной войны </t>
    </r>
  </si>
  <si>
    <t xml:space="preserve"> Предоставление ежемесячной доплаты к государственной (трудовой) пенсии – 38 получателей</t>
  </si>
  <si>
    <t xml:space="preserve">Значительное увиличение  (на 25%) цены муниципального контракта от 27.12.2022 № 140 на приобретение 32 однокомнатных квартир, увеличение срока исполнения обязательства по передаче квартир до 25.11.2024, срока оплаты по контракту до 31.12.2024 </t>
  </si>
  <si>
    <t xml:space="preserve">Заключены муниципальные контракты на ремонт 13 квартир (жилых помещений) 20 детям-сиротам и детям, оставшимся без попечения родителей, лицам из их числа, из них: 5 контрактов со сроком исполнения в 3-4 кв. 2024; по 3 контрактам  работы выполнены,не оплачены  </t>
  </si>
  <si>
    <t>Дополнительные меры социальной поддержки предоставлены 711 гражданам (74 % от плана)</t>
  </si>
  <si>
    <t>Предоставление дополнительных мер социальной поддержки: приобретение сувенирной и наградной продукции, услуги связи, содержание подъемной платформы, выдача талонов на бесплатное посещение общего отдения бань, выдача талонов на бесплатное питание. Плановое значение количества граждан, которым  предоставлены дополнительные меры социальной поддержки - 958 чел.</t>
  </si>
  <si>
    <t>Дополнительное пенсионное обеспечение предоставляется своевременно 363 гражданам</t>
  </si>
  <si>
    <r>
      <t xml:space="preserve">Материальная помощь предоставлена </t>
    </r>
    <r>
      <rPr>
        <i/>
        <sz val="11"/>
        <rFont val="Times New Roman"/>
        <family val="1"/>
        <charset val="204"/>
      </rPr>
      <t>677 гражданам</t>
    </r>
    <r>
      <rPr>
        <i/>
        <sz val="11"/>
        <color theme="1"/>
        <rFont val="Times New Roman"/>
        <family val="1"/>
        <charset val="204"/>
      </rPr>
      <t xml:space="preserve"> (32 % от плана)</t>
    </r>
  </si>
  <si>
    <t>Выплата предоставлена 18 гражданам (46% от плана)</t>
  </si>
  <si>
    <t xml:space="preserve">По состоянию на 01.04.2024 года в городе Мурманске проживало 18 ветеранов ВОв </t>
  </si>
  <si>
    <t xml:space="preserve">Обеспечение единым социальным проездным билетом </t>
  </si>
  <si>
    <t xml:space="preserve"> Предоставление ежегодной единовременной материальной помощи на санаторное лечение и оздоровительные мероприятия </t>
  </si>
  <si>
    <t xml:space="preserve">13 получателей обеспечиваются единым социальным проездным билетом </t>
  </si>
  <si>
    <t>Расходы за ритуальные услуги, оказанные специализированными организациями, возмещены в связи со смертью 2 граждан</t>
  </si>
  <si>
    <t>Выплата ежемесячно предоставляется  33 получателям</t>
  </si>
  <si>
    <t>Общая численность детей-сирот и детей, оставшихся без попечения родителей, в городе Мурманске на отчетную дату составляет 970 человек. Доля детей-сирот и детей, оставшихся без попечения родителей, устроенных в замещающие семьи, от общей численности детей-сирот составила 90,5% (878 человек). Исполнение показателя составило 96,3%. Меры социальной поддержки предоставляются ежемесячно в полном объеме</t>
  </si>
  <si>
    <t>Детям указанной категории за время пребывания в семье опекуна, попечителя полное государственное обеспечение предоставляется ежемесячно. Среднегодовая численность  детей-сирот и детей, оставшихся без попечения родителей, воспитывающихся в семьях опекунов и попечителей, на отчетную дату составляет 330 человек. (Исполнение показатея составило 93,8%)</t>
  </si>
  <si>
    <t>Среднегодовая численность детей, над которыми установлен социальный и постинтернатный патронат – 100 человек (Исполнение составило 100%). Выплата лицам, осуществляющим социальный и постинтернатный патронат, осуществляется ежемесячно в полном объеме</t>
  </si>
  <si>
    <t xml:space="preserve"> Плановое значение показателя 1.3. "Число детей, над которыми установлен социальный и постинтернатный патронат" на 2024 год - 100 человек</t>
  </si>
  <si>
    <t>Плановое значение показателя 1.2 "Количество детей-сирот и детей, оставшихся без попечения родителей, воспитывающихся в приемных семьях" на 2024 год - 275 человек</t>
  </si>
  <si>
    <t>Плановое значение показателя 1.1 "Количество детей-сирот и детей, оставшихся без попечения родителей, воспитывающихся в семьях опекунов и попечителей"на 2024 год - 352 человек</t>
  </si>
  <si>
    <t xml:space="preserve"> Плановое значение показателя 1.4. "Число детей-сирот и детей, оставшихся без попечения родителей, лиц из их числа, которым предоставлена ежемесячная жилищно-коммунальная выплата" на 2024 год - 430 человек</t>
  </si>
  <si>
    <t>Ежемесячная денежная выплата на оплату жилого помещения и коммунальных услуг (ЕЖКВ) в среднем в месяц предоставлялась  395 детям-сиротам и детям, оставшимся без попечения родителей, лицам из их числа, что составляет 91,9%</t>
  </si>
  <si>
    <t>Фактическое значение показателя по итогам 6 месяцев 2024 года составило  - 12 человек. В том числе: 9 человек обеспечены  по договору найма специализированного жилого помещения, 3 человека реализовали жилищные сертификаты Мурманской области</t>
  </si>
  <si>
    <t xml:space="preserve"> Плановое значение показателя 1.5. "Число детей-сирот и детей, оставшихся без попечения родителей, лиц из их числа, которым предоставлены благоустроенные жилые помещения специализированного жилищного фонда по договорам найма специализированных жилых помещений" на 2024 год - 158 человек</t>
  </si>
  <si>
    <t>Плановое значение показателя 1.6. "Число детей-сирот и детей, оставшихся без попечения родителей, лиц из их числа, которым осуществлен ремонт жилых помещений, собственниками которых они являются, либо текущий ремонт жилых помещений, право пользования которыми за ними сохранено" на 2024 год - 20 человек</t>
  </si>
  <si>
    <t>Финансирование трудоустройства 150 граждан, зарегистрированных в органах службы занятости в целях поиска подходящей работы</t>
  </si>
  <si>
    <t>Предоставление материальной помощи гражаднам, оказавшимся в трудной жизненной ситуации, в количестве 2100 получателей</t>
  </si>
  <si>
    <t>Материальная помощь на санаторное лечение и оздоровительные мероприятия предоставлена 6 получателям</t>
  </si>
  <si>
    <t xml:space="preserve">В 1 полугодии 2024 года приобретено спортивное оборудование и инвентарь (комплект горных лыж, шлем) для детей с ОВЗ, акватренер, дыхательный тренажер, игрушка тонущая, палочки для ныряния (МБУ ДО г. Мурманска ДЮСАШ № 15 - 51,6 т.р.), приобретены лестничные  гусечные подъемники (МБОУ г. Мурманска Прогимназия № 40 - 350,0 т.р., МБОУ г. Мурманска СОШ № 34 - 250,0 т.р.)                                                                          </t>
  </si>
  <si>
    <t xml:space="preserve">
Низкое исполнение мероприятия подпрограммы - выполнение работ по контрактам в соответствии со сроками работ в рамках заключенных контрактов, подготовка проектной документации и размещение заявок на определение поставщика (подрядчика, исполнителя) по прочим объектам - 3 кв. 2024 года</t>
  </si>
  <si>
    <t xml:space="preserve">
Низкое исполнение мероприятия подпрограммы - выполнение работ по контракту от 24.04.2024 № 118 запланировано в 3 кв.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</si>
</sst>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_-* #,##0.0\ _₽_-;\-* #,##0.0\ _₽_-;_-* &quot;-&quot;??\ _₽_-;_-@_-"/>
  </numFmts>
  <fonts count="12"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sz val="11"/>
      <color theme="1"/>
      <name val="Times New Roman"/>
      <family val="1"/>
      <charset val="204"/>
    </font>
    <font>
      <b/>
      <sz val="11"/>
      <color theme="1"/>
      <name val="Times New Roman"/>
      <family val="1"/>
      <charset val="204"/>
    </font>
    <font>
      <i/>
      <sz val="11"/>
      <color theme="1"/>
      <name val="Times New Roman"/>
      <family val="1"/>
      <charset val="204"/>
    </font>
    <font>
      <sz val="11"/>
      <name val="Times New Roman"/>
      <family val="1"/>
      <charset val="204"/>
    </font>
    <font>
      <i/>
      <sz val="11"/>
      <name val="Times New Roman"/>
      <family val="1"/>
      <charset val="204"/>
    </font>
    <font>
      <sz val="11"/>
      <color theme="1"/>
      <name val="Calibri"/>
      <family val="2"/>
      <scheme val="minor"/>
    </font>
    <font>
      <b/>
      <sz val="11"/>
      <name val="Times New Roman"/>
      <family val="1"/>
      <charset val="204"/>
    </font>
    <font>
      <b/>
      <sz val="9"/>
      <color indexed="81"/>
      <name val="Tahoma"/>
      <family val="2"/>
      <charset val="204"/>
    </font>
    <font>
      <b/>
      <sz val="10"/>
      <color indexed="81"/>
      <name val="Tahoma"/>
      <family val="2"/>
      <charset val="204"/>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43" fontId="8" fillId="0" borderId="0" applyFont="0" applyFill="0" applyBorder="0" applyAlignment="0" applyProtection="0"/>
  </cellStyleXfs>
  <cellXfs count="154">
    <xf numFmtId="0" fontId="0" fillId="0" borderId="0" xfId="0"/>
    <xf numFmtId="0" fontId="0" fillId="0" borderId="0" xfId="0" applyAlignment="1">
      <alignment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4" fillId="0" borderId="1" xfId="0" applyFont="1" applyBorder="1" applyAlignment="1">
      <alignment wrapText="1"/>
    </xf>
    <xf numFmtId="0" fontId="3" fillId="0" borderId="1" xfId="0" applyFont="1" applyBorder="1" applyAlignment="1">
      <alignment wrapText="1"/>
    </xf>
    <xf numFmtId="0" fontId="3" fillId="0" borderId="1" xfId="0" applyFont="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4" fontId="3" fillId="0" borderId="1" xfId="0" applyNumberFormat="1" applyFont="1" applyBorder="1" applyAlignment="1">
      <alignment horizontal="center" vertical="center" wrapText="1"/>
    </xf>
    <xf numFmtId="0" fontId="3" fillId="0" borderId="0" xfId="0" applyFont="1" applyAlignment="1">
      <alignment wrapText="1"/>
    </xf>
    <xf numFmtId="0" fontId="4" fillId="0" borderId="0" xfId="0" applyFont="1" applyAlignment="1">
      <alignment wrapText="1"/>
    </xf>
    <xf numFmtId="2" fontId="3" fillId="0" borderId="0" xfId="0" applyNumberFormat="1" applyFont="1" applyAlignment="1">
      <alignment wrapText="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2" fontId="4"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2" fontId="3" fillId="0" borderId="1" xfId="0" applyNumberFormat="1" applyFont="1" applyBorder="1" applyAlignment="1">
      <alignment horizontal="left" vertical="center" wrapText="1"/>
    </xf>
    <xf numFmtId="0" fontId="3" fillId="2" borderId="1" xfId="0" applyFont="1" applyFill="1" applyBorder="1" applyAlignment="1">
      <alignment horizontal="left" vertical="top" wrapText="1"/>
    </xf>
    <xf numFmtId="0" fontId="2" fillId="0" borderId="0" xfId="0" applyFont="1" applyAlignment="1">
      <alignment horizontal="left" vertical="top" wrapText="1"/>
    </xf>
    <xf numFmtId="164" fontId="3" fillId="2"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wrapText="1"/>
    </xf>
    <xf numFmtId="0" fontId="3" fillId="0" borderId="5" xfId="0" applyFont="1" applyBorder="1" applyAlignment="1">
      <alignment horizontal="center" wrapText="1"/>
    </xf>
    <xf numFmtId="4" fontId="3" fillId="0" borderId="5" xfId="0" applyNumberFormat="1" applyFont="1" applyBorder="1" applyAlignment="1">
      <alignment horizontal="center" wrapText="1"/>
    </xf>
    <xf numFmtId="4" fontId="3" fillId="0" borderId="0" xfId="0" applyNumberFormat="1" applyFont="1" applyAlignment="1">
      <alignment horizont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0" xfId="0" applyFont="1" applyAlignment="1">
      <alignment horizontal="center" vertical="top" wrapText="1"/>
    </xf>
    <xf numFmtId="4" fontId="3" fillId="0" borderId="1" xfId="0" applyNumberFormat="1" applyFont="1" applyBorder="1" applyAlignment="1">
      <alignment wrapText="1"/>
    </xf>
    <xf numFmtId="4" fontId="3" fillId="0" borderId="0" xfId="0" applyNumberFormat="1" applyFont="1" applyAlignment="1">
      <alignment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0" xfId="0" applyFont="1" applyAlignment="1">
      <alignment vertical="top" wrapText="1"/>
    </xf>
    <xf numFmtId="4" fontId="3" fillId="2" borderId="1" xfId="0" applyNumberFormat="1" applyFont="1" applyFill="1" applyBorder="1" applyAlignment="1">
      <alignment wrapText="1"/>
    </xf>
    <xf numFmtId="0" fontId="5" fillId="0" borderId="1" xfId="0" applyFont="1" applyBorder="1" applyAlignment="1">
      <alignment wrapText="1"/>
    </xf>
    <xf numFmtId="4" fontId="5" fillId="0" borderId="1" xfId="0" applyNumberFormat="1" applyFont="1" applyBorder="1" applyAlignment="1">
      <alignment wrapText="1"/>
    </xf>
    <xf numFmtId="0" fontId="5" fillId="0" borderId="0" xfId="0" applyFont="1" applyAlignment="1">
      <alignment wrapText="1"/>
    </xf>
    <xf numFmtId="4" fontId="5" fillId="2" borderId="1" xfId="0" applyNumberFormat="1" applyFont="1" applyFill="1" applyBorder="1" applyAlignment="1">
      <alignment wrapText="1"/>
    </xf>
    <xf numFmtId="4" fontId="3" fillId="3" borderId="1" xfId="0" applyNumberFormat="1" applyFont="1" applyFill="1" applyBorder="1" applyAlignment="1">
      <alignment wrapText="1"/>
    </xf>
    <xf numFmtId="4" fontId="5" fillId="3" borderId="1" xfId="0" applyNumberFormat="1" applyFont="1" applyFill="1" applyBorder="1" applyAlignment="1">
      <alignment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wrapText="1"/>
    </xf>
    <xf numFmtId="0" fontId="3" fillId="3" borderId="0" xfId="0" applyFont="1" applyFill="1" applyAlignment="1">
      <alignment wrapText="1"/>
    </xf>
    <xf numFmtId="0" fontId="4" fillId="3" borderId="1" xfId="0" applyFont="1" applyFill="1" applyBorder="1" applyAlignment="1">
      <alignment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43" fontId="6" fillId="3" borderId="2" xfId="3"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4" fontId="6" fillId="3" borderId="3" xfId="3" applyNumberFormat="1" applyFont="1" applyFill="1" applyBorder="1" applyAlignment="1">
      <alignment horizontal="center" vertical="center" wrapText="1"/>
    </xf>
    <xf numFmtId="164" fontId="6" fillId="3" borderId="1" xfId="3"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top" wrapText="1"/>
    </xf>
    <xf numFmtId="164" fontId="9" fillId="3" borderId="1" xfId="0" applyNumberFormat="1" applyFont="1" applyFill="1" applyBorder="1" applyAlignment="1">
      <alignment horizontal="center" vertical="top" wrapText="1"/>
    </xf>
    <xf numFmtId="164" fontId="6" fillId="3" borderId="1" xfId="0" applyNumberFormat="1" applyFont="1" applyFill="1" applyBorder="1" applyAlignment="1">
      <alignment horizontal="center" vertical="top" wrapText="1"/>
    </xf>
    <xf numFmtId="164" fontId="6" fillId="3" borderId="1" xfId="3" applyNumberFormat="1" applyFont="1" applyFill="1" applyBorder="1" applyAlignment="1">
      <alignment horizontal="center" vertical="top" wrapText="1"/>
    </xf>
    <xf numFmtId="164" fontId="6" fillId="3" borderId="2" xfId="3" applyNumberFormat="1" applyFont="1" applyFill="1" applyBorder="1" applyAlignment="1">
      <alignment horizontal="center" vertical="top" wrapText="1"/>
    </xf>
    <xf numFmtId="164" fontId="6" fillId="3" borderId="1" xfId="3" applyNumberFormat="1" applyFont="1" applyFill="1" applyBorder="1" applyAlignment="1">
      <alignment horizontal="center"/>
    </xf>
    <xf numFmtId="164" fontId="6" fillId="3" borderId="1" xfId="0" applyNumberFormat="1" applyFont="1" applyFill="1" applyBorder="1" applyAlignment="1">
      <alignment horizontal="center"/>
    </xf>
    <xf numFmtId="164" fontId="6" fillId="3" borderId="3" xfId="0" applyNumberFormat="1" applyFont="1" applyFill="1" applyBorder="1" applyAlignment="1">
      <alignment horizontal="center" vertical="center" wrapText="1"/>
    </xf>
    <xf numFmtId="164" fontId="6" fillId="3" borderId="1" xfId="0" applyNumberFormat="1" applyFont="1" applyFill="1" applyBorder="1" applyAlignment="1" applyProtection="1">
      <alignment horizontal="center" vertical="center"/>
      <protection locked="0"/>
    </xf>
    <xf numFmtId="164" fontId="6" fillId="3" borderId="3" xfId="0" applyNumberFormat="1" applyFont="1" applyFill="1" applyBorder="1" applyAlignment="1">
      <alignment horizontal="center" vertical="top" wrapText="1"/>
    </xf>
    <xf numFmtId="164" fontId="6" fillId="3" borderId="1" xfId="0" applyNumberFormat="1" applyFont="1" applyFill="1" applyBorder="1" applyAlignment="1">
      <alignment horizontal="center" vertical="top"/>
    </xf>
    <xf numFmtId="164" fontId="6" fillId="3" borderId="3" xfId="0" applyNumberFormat="1" applyFont="1" applyFill="1" applyBorder="1" applyAlignment="1">
      <alignment horizontal="center"/>
    </xf>
    <xf numFmtId="164" fontId="6" fillId="3" borderId="1" xfId="3" applyNumberFormat="1" applyFont="1" applyFill="1" applyBorder="1" applyAlignment="1">
      <alignment horizontal="center" vertical="center"/>
    </xf>
    <xf numFmtId="164" fontId="6" fillId="3" borderId="1" xfId="0" applyNumberFormat="1" applyFont="1" applyFill="1" applyBorder="1" applyAlignment="1">
      <alignment horizontal="center" vertical="center"/>
    </xf>
    <xf numFmtId="166"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2" borderId="4" xfId="0" applyFont="1" applyFill="1" applyBorder="1" applyAlignment="1">
      <alignment horizontal="center" vertical="top" wrapText="1"/>
    </xf>
    <xf numFmtId="0" fontId="5" fillId="3" borderId="4" xfId="0" applyFont="1" applyFill="1" applyBorder="1" applyAlignment="1">
      <alignment horizontal="center" vertical="center" wrapText="1"/>
    </xf>
    <xf numFmtId="4" fontId="5" fillId="4" borderId="1" xfId="0" applyNumberFormat="1" applyFont="1" applyFill="1" applyBorder="1" applyAlignment="1">
      <alignment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4" fontId="4" fillId="2" borderId="1" xfId="0" applyNumberFormat="1" applyFont="1" applyFill="1" applyBorder="1" applyAlignment="1">
      <alignment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2"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3" xfId="0" applyFont="1" applyFill="1" applyBorder="1" applyAlignment="1">
      <alignment horizontal="center" vertical="top"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 xfId="0" applyFont="1" applyBorder="1" applyAlignment="1">
      <alignment horizontal="center" vertical="top"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3" xfId="0" applyFont="1" applyFill="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5" fillId="0" borderId="1" xfId="0" applyFont="1" applyBorder="1" applyAlignment="1">
      <alignment horizontal="center" vertical="top" wrapText="1"/>
    </xf>
    <xf numFmtId="0" fontId="5" fillId="3" borderId="2"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3" xfId="0" applyFont="1" applyFill="1" applyBorder="1" applyAlignment="1">
      <alignment horizontal="center"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3" fillId="3" borderId="2"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3" xfId="0" applyFont="1" applyFill="1" applyBorder="1" applyAlignment="1">
      <alignment horizontal="center" vertical="top" wrapText="1"/>
    </xf>
    <xf numFmtId="0" fontId="7" fillId="2" borderId="2"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3" xfId="0" applyFont="1" applyFill="1" applyBorder="1" applyAlignment="1">
      <alignment horizontal="left" vertical="top" wrapText="1"/>
    </xf>
    <xf numFmtId="165" fontId="6" fillId="2" borderId="2" xfId="0" applyNumberFormat="1" applyFont="1" applyFill="1" applyBorder="1" applyAlignment="1">
      <alignment horizontal="center" vertical="center" wrapText="1"/>
    </xf>
    <xf numFmtId="165" fontId="6" fillId="2" borderId="4"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1" xfId="0" applyFont="1" applyBorder="1" applyAlignment="1">
      <alignment horizontal="center" vertical="top" wrapText="1"/>
    </xf>
    <xf numFmtId="0" fontId="0" fillId="2" borderId="4" xfId="0" applyFill="1" applyBorder="1" applyAlignment="1">
      <alignment horizontal="center" vertical="top" wrapText="1"/>
    </xf>
    <xf numFmtId="0" fontId="0" fillId="2" borderId="3" xfId="0" applyFill="1" applyBorder="1" applyAlignment="1">
      <alignment horizontal="center" vertical="top"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3" xfId="0" applyFont="1" applyFill="1" applyBorder="1" applyAlignment="1">
      <alignment horizontal="center" vertical="top"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165" fontId="6" fillId="2" borderId="2" xfId="0" applyNumberFormat="1" applyFont="1" applyFill="1" applyBorder="1" applyAlignment="1">
      <alignment horizontal="center" vertical="top" wrapText="1"/>
    </xf>
    <xf numFmtId="0" fontId="6" fillId="2" borderId="4"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4" fillId="0" borderId="1" xfId="0" applyFont="1" applyBorder="1" applyAlignment="1">
      <alignment horizontal="left" vertical="top" wrapText="1"/>
    </xf>
  </cellXfs>
  <cellStyles count="4">
    <cellStyle name="Обычный" xfId="0" builtinId="0"/>
    <cellStyle name="Обычный 2" xfId="1"/>
    <cellStyle name="Финансовый" xfId="3" builtinId="3"/>
    <cellStyle name="Финансовый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K301"/>
  <sheetViews>
    <sheetView tabSelected="1" topLeftCell="A97" zoomScale="90" zoomScaleNormal="90" workbookViewId="0">
      <selection activeCell="B107" sqref="B107:B111"/>
    </sheetView>
  </sheetViews>
  <sheetFormatPr defaultColWidth="8.85546875" defaultRowHeight="15" x14ac:dyDescent="0.25"/>
  <cols>
    <col min="1" max="1" width="6.42578125" style="46" customWidth="1"/>
    <col min="2" max="2" width="44.42578125" style="46" customWidth="1"/>
    <col min="3" max="3" width="9" style="11" customWidth="1"/>
    <col min="4" max="4" width="13.85546875" style="32" customWidth="1"/>
    <col min="5" max="5" width="15" style="32" customWidth="1"/>
    <col min="6" max="6" width="11.5703125" style="32" customWidth="1"/>
    <col min="7" max="7" width="58.7109375" style="33" customWidth="1"/>
    <col min="8" max="8" width="66.5703125" style="33" customWidth="1"/>
    <col min="9" max="9" width="10.5703125" style="34" customWidth="1"/>
    <col min="10" max="10" width="14.5703125" style="35" customWidth="1"/>
    <col min="11" max="11" width="98" style="33" customWidth="1"/>
    <col min="12" max="16384" width="8.85546875" style="11"/>
  </cols>
  <sheetData>
    <row r="1" spans="1:11" ht="14.45" customHeight="1" x14ac:dyDescent="0.25">
      <c r="A1" s="134" t="s">
        <v>35</v>
      </c>
      <c r="B1" s="134"/>
      <c r="C1" s="134"/>
      <c r="D1" s="134"/>
      <c r="E1" s="134"/>
      <c r="F1" s="134"/>
      <c r="G1" s="134"/>
      <c r="H1" s="134"/>
      <c r="I1" s="134"/>
      <c r="J1" s="134"/>
      <c r="K1" s="134"/>
    </row>
    <row r="2" spans="1:11" x14ac:dyDescent="0.25">
      <c r="A2" s="135" t="s">
        <v>86</v>
      </c>
      <c r="B2" s="135"/>
      <c r="C2" s="135"/>
      <c r="D2" s="135"/>
      <c r="E2" s="135"/>
      <c r="F2" s="135"/>
      <c r="G2" s="135"/>
      <c r="H2" s="135"/>
      <c r="I2" s="135"/>
      <c r="J2" s="135"/>
      <c r="K2" s="135"/>
    </row>
    <row r="3" spans="1:11" x14ac:dyDescent="0.25">
      <c r="A3" s="134" t="s">
        <v>232</v>
      </c>
      <c r="B3" s="134"/>
      <c r="C3" s="134"/>
      <c r="D3" s="134"/>
      <c r="E3" s="134"/>
      <c r="F3" s="134"/>
      <c r="G3" s="134"/>
      <c r="H3" s="134"/>
      <c r="I3" s="134"/>
      <c r="J3" s="134"/>
      <c r="K3" s="134"/>
    </row>
    <row r="4" spans="1:11" x14ac:dyDescent="0.25">
      <c r="A4" s="45"/>
      <c r="B4" s="45"/>
      <c r="C4" s="25"/>
      <c r="D4" s="26"/>
      <c r="E4" s="26"/>
      <c r="F4" s="27"/>
      <c r="G4" s="28"/>
      <c r="H4" s="28"/>
      <c r="I4" s="29"/>
      <c r="J4" s="30"/>
      <c r="K4" s="28"/>
    </row>
    <row r="5" spans="1:11" ht="31.15" customHeight="1" x14ac:dyDescent="0.25">
      <c r="A5" s="86" t="s">
        <v>0</v>
      </c>
      <c r="B5" s="86" t="s">
        <v>1</v>
      </c>
      <c r="C5" s="147" t="s">
        <v>2</v>
      </c>
      <c r="D5" s="147"/>
      <c r="E5" s="147"/>
      <c r="F5" s="148" t="s">
        <v>4</v>
      </c>
      <c r="G5" s="147" t="s">
        <v>5</v>
      </c>
      <c r="H5" s="147"/>
      <c r="I5" s="147"/>
      <c r="J5" s="150" t="s">
        <v>9</v>
      </c>
      <c r="K5" s="147" t="s">
        <v>10</v>
      </c>
    </row>
    <row r="6" spans="1:11" ht="60" x14ac:dyDescent="0.25">
      <c r="A6" s="88"/>
      <c r="B6" s="88"/>
      <c r="C6" s="2" t="s">
        <v>11</v>
      </c>
      <c r="D6" s="10" t="s">
        <v>3</v>
      </c>
      <c r="E6" s="10" t="s">
        <v>12</v>
      </c>
      <c r="F6" s="149"/>
      <c r="G6" s="2" t="s">
        <v>6</v>
      </c>
      <c r="H6" s="2" t="s">
        <v>7</v>
      </c>
      <c r="I6" s="2" t="s">
        <v>8</v>
      </c>
      <c r="J6" s="151"/>
      <c r="K6" s="147"/>
    </row>
    <row r="7" spans="1:11" s="12" customFormat="1" x14ac:dyDescent="0.2">
      <c r="A7" s="146"/>
      <c r="B7" s="146" t="s">
        <v>87</v>
      </c>
      <c r="C7" s="4" t="s">
        <v>13</v>
      </c>
      <c r="D7" s="50">
        <f>SUM(D8:D9)</f>
        <v>934536.20000000007</v>
      </c>
      <c r="E7" s="24">
        <f>E8+E9+E10+E11</f>
        <v>272123.7</v>
      </c>
      <c r="F7" s="24">
        <f>E7/D7*100</f>
        <v>29.118583100365719</v>
      </c>
      <c r="G7" s="131"/>
      <c r="H7" s="9" t="s">
        <v>18</v>
      </c>
      <c r="I7" s="23">
        <f>I47+I112+I227+I267</f>
        <v>29</v>
      </c>
      <c r="J7" s="113" t="s">
        <v>23</v>
      </c>
      <c r="K7" s="131" t="s">
        <v>23</v>
      </c>
    </row>
    <row r="8" spans="1:11" s="12" customFormat="1" x14ac:dyDescent="0.2">
      <c r="A8" s="146"/>
      <c r="B8" s="146"/>
      <c r="C8" s="4" t="s">
        <v>14</v>
      </c>
      <c r="D8" s="50">
        <f t="shared" ref="D8:D9" si="0">D13+D18+D23+D28+D33+D38+D43</f>
        <v>99798.5</v>
      </c>
      <c r="E8" s="24">
        <f>E48+E113+E228+E268</f>
        <v>46300.600000000006</v>
      </c>
      <c r="F8" s="24">
        <f>E8/D8*100</f>
        <v>46.39408407942004</v>
      </c>
      <c r="G8" s="132"/>
      <c r="H8" s="9" t="s">
        <v>19</v>
      </c>
      <c r="I8" s="23">
        <f>I48+I113+I228+I268</f>
        <v>1</v>
      </c>
      <c r="J8" s="114"/>
      <c r="K8" s="132"/>
    </row>
    <row r="9" spans="1:11" s="12" customFormat="1" x14ac:dyDescent="0.2">
      <c r="A9" s="146"/>
      <c r="B9" s="146"/>
      <c r="C9" s="4" t="s">
        <v>16</v>
      </c>
      <c r="D9" s="50">
        <f t="shared" si="0"/>
        <v>834737.70000000007</v>
      </c>
      <c r="E9" s="24">
        <f>E49+E114+E229+E269</f>
        <v>225823.1</v>
      </c>
      <c r="F9" s="24">
        <f>E9/D9*100</f>
        <v>27.053180897424422</v>
      </c>
      <c r="G9" s="132"/>
      <c r="H9" s="9" t="s">
        <v>20</v>
      </c>
      <c r="I9" s="23">
        <f>I49+I114+I229+I269</f>
        <v>27</v>
      </c>
      <c r="J9" s="114"/>
      <c r="K9" s="132"/>
    </row>
    <row r="10" spans="1:11" s="12" customFormat="1" x14ac:dyDescent="0.2">
      <c r="A10" s="146"/>
      <c r="B10" s="146"/>
      <c r="C10" s="4" t="s">
        <v>15</v>
      </c>
      <c r="D10" s="51">
        <v>0</v>
      </c>
      <c r="E10" s="24">
        <f>E50+E115+E230+E270</f>
        <v>0</v>
      </c>
      <c r="F10" s="24"/>
      <c r="G10" s="132"/>
      <c r="H10" s="9" t="s">
        <v>21</v>
      </c>
      <c r="I10" s="23">
        <f>I50+I115+I230+I270</f>
        <v>1</v>
      </c>
      <c r="J10" s="114"/>
      <c r="K10" s="132"/>
    </row>
    <row r="11" spans="1:11" s="12" customFormat="1" ht="31.5" customHeight="1" x14ac:dyDescent="0.2">
      <c r="A11" s="146"/>
      <c r="B11" s="146"/>
      <c r="C11" s="4" t="s">
        <v>17</v>
      </c>
      <c r="D11" s="51">
        <v>0</v>
      </c>
      <c r="E11" s="24">
        <f>E51+E116+E231+E271</f>
        <v>0</v>
      </c>
      <c r="F11" s="24"/>
      <c r="G11" s="133"/>
      <c r="H11" s="9" t="s">
        <v>22</v>
      </c>
      <c r="I11" s="7">
        <f>I8/I7*100</f>
        <v>3.4482758620689653</v>
      </c>
      <c r="J11" s="115"/>
      <c r="K11" s="133"/>
    </row>
    <row r="12" spans="1:11" s="12" customFormat="1" x14ac:dyDescent="0.25">
      <c r="A12" s="130"/>
      <c r="B12" s="130" t="s">
        <v>88</v>
      </c>
      <c r="C12" s="5" t="s">
        <v>13</v>
      </c>
      <c r="D12" s="69">
        <v>324101</v>
      </c>
      <c r="E12" s="31">
        <f>E13+E14+E15+E16</f>
        <v>147910.70000000004</v>
      </c>
      <c r="F12" s="31">
        <f>E12/D12*100</f>
        <v>45.637224198629447</v>
      </c>
      <c r="G12" s="99"/>
      <c r="H12" s="8" t="s">
        <v>18</v>
      </c>
      <c r="I12" s="2">
        <f>COUNTA(I62:I76)+COUNTA(I82:I91)+COUNTA(I237)</f>
        <v>6</v>
      </c>
      <c r="J12" s="113" t="s">
        <v>23</v>
      </c>
      <c r="K12" s="131" t="s">
        <v>23</v>
      </c>
    </row>
    <row r="13" spans="1:11" s="12" customFormat="1" x14ac:dyDescent="0.25">
      <c r="A13" s="130"/>
      <c r="B13" s="130"/>
      <c r="C13" s="5" t="s">
        <v>14</v>
      </c>
      <c r="D13" s="69">
        <v>1000</v>
      </c>
      <c r="E13" s="36">
        <f>E238</f>
        <v>651.6</v>
      </c>
      <c r="F13" s="31">
        <f>E13/D13*100</f>
        <v>65.160000000000011</v>
      </c>
      <c r="G13" s="100"/>
      <c r="H13" s="8" t="s">
        <v>19</v>
      </c>
      <c r="I13" s="2">
        <f>COUNTIF(I62:I76,"да")+COUNTIF(I82:I91,"да")+COUNTIF(I237,"да")</f>
        <v>0</v>
      </c>
      <c r="J13" s="114"/>
      <c r="K13" s="132"/>
    </row>
    <row r="14" spans="1:11" s="12" customFormat="1" x14ac:dyDescent="0.25">
      <c r="A14" s="130"/>
      <c r="B14" s="130"/>
      <c r="C14" s="5" t="s">
        <v>16</v>
      </c>
      <c r="D14" s="69">
        <v>323101</v>
      </c>
      <c r="E14" s="36">
        <f>E54+E84+E89</f>
        <v>147259.10000000003</v>
      </c>
      <c r="F14" s="31">
        <f>E14/D14*100</f>
        <v>45.57680106220657</v>
      </c>
      <c r="G14" s="100"/>
      <c r="H14" s="8" t="s">
        <v>20</v>
      </c>
      <c r="I14" s="2">
        <f>COUNTIF(I62:I76,"частично")+COUNTIF(I82:I91,"частично")+COUNTIF(I237,"частично")</f>
        <v>6</v>
      </c>
      <c r="J14" s="114"/>
      <c r="K14" s="132"/>
    </row>
    <row r="15" spans="1:11" s="12" customFormat="1" x14ac:dyDescent="0.25">
      <c r="A15" s="130"/>
      <c r="B15" s="130"/>
      <c r="C15" s="5" t="s">
        <v>15</v>
      </c>
      <c r="D15" s="54">
        <v>0</v>
      </c>
      <c r="E15" s="41">
        <v>0</v>
      </c>
      <c r="F15" s="31"/>
      <c r="G15" s="100"/>
      <c r="H15" s="8" t="s">
        <v>21</v>
      </c>
      <c r="I15" s="2">
        <f>COUNTIF(I62:I76,"нет")+COUNTIF(I82:I91,"нет")+COUNTIF(I237,"нет")</f>
        <v>0</v>
      </c>
      <c r="J15" s="114"/>
      <c r="K15" s="132"/>
    </row>
    <row r="16" spans="1:11" s="12" customFormat="1" ht="28.5" customHeight="1" x14ac:dyDescent="0.25">
      <c r="A16" s="130"/>
      <c r="B16" s="130"/>
      <c r="C16" s="5" t="s">
        <v>17</v>
      </c>
      <c r="D16" s="54">
        <v>0</v>
      </c>
      <c r="E16" s="41">
        <v>0</v>
      </c>
      <c r="F16" s="31"/>
      <c r="G16" s="101"/>
      <c r="H16" s="8" t="s">
        <v>22</v>
      </c>
      <c r="I16" s="3">
        <f>I13/I12*100</f>
        <v>0</v>
      </c>
      <c r="J16" s="115"/>
      <c r="K16" s="133"/>
    </row>
    <row r="17" spans="1:11" s="12" customFormat="1" x14ac:dyDescent="0.25">
      <c r="A17" s="130"/>
      <c r="B17" s="130" t="s">
        <v>89</v>
      </c>
      <c r="C17" s="5" t="s">
        <v>13</v>
      </c>
      <c r="D17" s="70">
        <v>480263.5</v>
      </c>
      <c r="E17" s="31">
        <f>E18+E19+E20+E21</f>
        <v>64183</v>
      </c>
      <c r="F17" s="31">
        <f>E17/D17*100</f>
        <v>13.364121987200775</v>
      </c>
      <c r="G17" s="99"/>
      <c r="H17" s="8" t="s">
        <v>18</v>
      </c>
      <c r="I17" s="2">
        <f>COUNTA(I92)</f>
        <v>1</v>
      </c>
      <c r="J17" s="113" t="s">
        <v>23</v>
      </c>
      <c r="K17" s="131" t="s">
        <v>23</v>
      </c>
    </row>
    <row r="18" spans="1:11" s="12" customFormat="1" x14ac:dyDescent="0.25">
      <c r="A18" s="130"/>
      <c r="B18" s="130"/>
      <c r="C18" s="5" t="s">
        <v>14</v>
      </c>
      <c r="D18" s="70">
        <v>0</v>
      </c>
      <c r="E18" s="41">
        <v>0</v>
      </c>
      <c r="F18" s="31"/>
      <c r="G18" s="100"/>
      <c r="H18" s="8" t="s">
        <v>19</v>
      </c>
      <c r="I18" s="2">
        <f>COUNTIF(I92,"да")</f>
        <v>0</v>
      </c>
      <c r="J18" s="114"/>
      <c r="K18" s="132"/>
    </row>
    <row r="19" spans="1:11" s="12" customFormat="1" x14ac:dyDescent="0.25">
      <c r="A19" s="130"/>
      <c r="B19" s="130"/>
      <c r="C19" s="5" t="s">
        <v>16</v>
      </c>
      <c r="D19" s="54">
        <v>480263.5</v>
      </c>
      <c r="E19" s="36">
        <f>E94</f>
        <v>64183</v>
      </c>
      <c r="F19" s="31">
        <f>E19/D19*100</f>
        <v>13.364121987200775</v>
      </c>
      <c r="G19" s="100"/>
      <c r="H19" s="8" t="s">
        <v>20</v>
      </c>
      <c r="I19" s="2">
        <f>COUNTIF(I92,"частично")</f>
        <v>1</v>
      </c>
      <c r="J19" s="114"/>
      <c r="K19" s="132"/>
    </row>
    <row r="20" spans="1:11" s="12" customFormat="1" x14ac:dyDescent="0.25">
      <c r="A20" s="130"/>
      <c r="B20" s="130"/>
      <c r="C20" s="5" t="s">
        <v>15</v>
      </c>
      <c r="D20" s="54">
        <v>0</v>
      </c>
      <c r="E20" s="41">
        <v>0</v>
      </c>
      <c r="F20" s="31"/>
      <c r="G20" s="100"/>
      <c r="H20" s="8" t="s">
        <v>21</v>
      </c>
      <c r="I20" s="2">
        <f>COUNTIF(I92,"нет")</f>
        <v>0</v>
      </c>
      <c r="J20" s="114"/>
      <c r="K20" s="132"/>
    </row>
    <row r="21" spans="1:11" s="12" customFormat="1" x14ac:dyDescent="0.25">
      <c r="A21" s="130"/>
      <c r="B21" s="130"/>
      <c r="C21" s="5" t="s">
        <v>17</v>
      </c>
      <c r="D21" s="54">
        <v>0</v>
      </c>
      <c r="E21" s="41">
        <v>0</v>
      </c>
      <c r="F21" s="31"/>
      <c r="G21" s="101"/>
      <c r="H21" s="8" t="s">
        <v>22</v>
      </c>
      <c r="I21" s="3">
        <f>I18/I17*100</f>
        <v>0</v>
      </c>
      <c r="J21" s="115"/>
      <c r="K21" s="133"/>
    </row>
    <row r="22" spans="1:11" s="12" customFormat="1" x14ac:dyDescent="0.25">
      <c r="A22" s="130"/>
      <c r="B22" s="130" t="s">
        <v>90</v>
      </c>
      <c r="C22" s="5" t="s">
        <v>13</v>
      </c>
      <c r="D22" s="54">
        <v>14500</v>
      </c>
      <c r="E22" s="31">
        <f>E23+E24+E25+E26</f>
        <v>2400.6000000000004</v>
      </c>
      <c r="F22" s="31">
        <f>E22/D22*100</f>
        <v>16.555862068965517</v>
      </c>
      <c r="G22" s="99"/>
      <c r="H22" s="8" t="s">
        <v>18</v>
      </c>
      <c r="I22" s="2">
        <f>COUNTA(I97:I106,I132,I247,I257:I266)</f>
        <v>3</v>
      </c>
      <c r="J22" s="113" t="s">
        <v>23</v>
      </c>
      <c r="K22" s="131" t="s">
        <v>23</v>
      </c>
    </row>
    <row r="23" spans="1:11" s="12" customFormat="1" x14ac:dyDescent="0.25">
      <c r="A23" s="130"/>
      <c r="B23" s="130"/>
      <c r="C23" s="5" t="s">
        <v>14</v>
      </c>
      <c r="D23" s="54">
        <v>11450.1</v>
      </c>
      <c r="E23" s="36">
        <f>E98+E133+E248</f>
        <v>520</v>
      </c>
      <c r="F23" s="31">
        <f>E23/D23*100</f>
        <v>4.5414450528816337</v>
      </c>
      <c r="G23" s="100"/>
      <c r="H23" s="8" t="s">
        <v>19</v>
      </c>
      <c r="I23" s="2">
        <f>COUNTIF(I97:I106,"да")+COUNTIF(I132,"да")+COUNTIF(I247,"да")+COUNTIF(I257:I266,"да")</f>
        <v>0</v>
      </c>
      <c r="J23" s="114"/>
      <c r="K23" s="132"/>
    </row>
    <row r="24" spans="1:11" s="12" customFormat="1" x14ac:dyDescent="0.25">
      <c r="A24" s="130"/>
      <c r="B24" s="130"/>
      <c r="C24" s="5" t="s">
        <v>16</v>
      </c>
      <c r="D24" s="54">
        <v>3049.9</v>
      </c>
      <c r="E24" s="36">
        <f>E104+E109</f>
        <v>1880.6000000000001</v>
      </c>
      <c r="F24" s="31">
        <f>E24/D24*100</f>
        <v>61.66103806682186</v>
      </c>
      <c r="G24" s="100"/>
      <c r="H24" s="8" t="s">
        <v>20</v>
      </c>
      <c r="I24" s="2">
        <f>COUNTIF(I97:I106,"частично")+COUNTIF(I132,"частично")+COUNTIF(I247,"частично")+COUNTIF(I257:I266,"частично")</f>
        <v>3</v>
      </c>
      <c r="J24" s="114"/>
      <c r="K24" s="132"/>
    </row>
    <row r="25" spans="1:11" s="12" customFormat="1" x14ac:dyDescent="0.25">
      <c r="A25" s="130"/>
      <c r="B25" s="130"/>
      <c r="C25" s="5" t="s">
        <v>15</v>
      </c>
      <c r="D25" s="54">
        <v>0</v>
      </c>
      <c r="E25" s="31">
        <v>0</v>
      </c>
      <c r="F25" s="31"/>
      <c r="G25" s="100"/>
      <c r="H25" s="8" t="s">
        <v>21</v>
      </c>
      <c r="I25" s="2">
        <f>COUNTIF(I97:I106,"нет")+COUNTIF(I132,"нет")+COUNTIF(I247,"нет")+COUNTIF(I257:I266,"нет")</f>
        <v>0</v>
      </c>
      <c r="J25" s="114"/>
      <c r="K25" s="132"/>
    </row>
    <row r="26" spans="1:11" s="12" customFormat="1" x14ac:dyDescent="0.25">
      <c r="A26" s="130"/>
      <c r="B26" s="130"/>
      <c r="C26" s="5" t="s">
        <v>17</v>
      </c>
      <c r="D26" s="54">
        <v>0</v>
      </c>
      <c r="E26" s="41">
        <v>0</v>
      </c>
      <c r="F26" s="31"/>
      <c r="G26" s="101"/>
      <c r="H26" s="8" t="s">
        <v>22</v>
      </c>
      <c r="I26" s="3">
        <f>I23/I22*100</f>
        <v>0</v>
      </c>
      <c r="J26" s="115"/>
      <c r="K26" s="133"/>
    </row>
    <row r="27" spans="1:11" s="12" customFormat="1" x14ac:dyDescent="0.25">
      <c r="A27" s="130"/>
      <c r="B27" s="130" t="s">
        <v>24</v>
      </c>
      <c r="C27" s="5" t="s">
        <v>13</v>
      </c>
      <c r="D27" s="54">
        <v>110906.2</v>
      </c>
      <c r="E27" s="31">
        <f>E28+E29+E30+E31</f>
        <v>55760.600000000006</v>
      </c>
      <c r="F27" s="31">
        <f>E27/D27*100</f>
        <v>50.277261325336184</v>
      </c>
      <c r="G27" s="99"/>
      <c r="H27" s="8" t="s">
        <v>18</v>
      </c>
      <c r="I27" s="2">
        <f>COUNTA(I122:I141,I147:I161,I167:I186,I192,I252,I277:I301)</f>
        <v>17</v>
      </c>
      <c r="J27" s="113" t="s">
        <v>23</v>
      </c>
      <c r="K27" s="131" t="s">
        <v>23</v>
      </c>
    </row>
    <row r="28" spans="1:11" s="12" customFormat="1" x14ac:dyDescent="0.25">
      <c r="A28" s="130"/>
      <c r="B28" s="130"/>
      <c r="C28" s="5" t="s">
        <v>14</v>
      </c>
      <c r="D28" s="54">
        <v>87298</v>
      </c>
      <c r="E28" s="36">
        <f>E123+E128+E138+E143+E163+E188+E268</f>
        <v>45126.100000000006</v>
      </c>
      <c r="F28" s="31">
        <f>E28/D28*100</f>
        <v>51.692020435748823</v>
      </c>
      <c r="G28" s="100"/>
      <c r="H28" s="8" t="s">
        <v>19</v>
      </c>
      <c r="I28" s="2">
        <f>COUNTIF(I122:I141,"да")+COUNTIF(I147:I161,"да")+COUNTIF(I167:I186,"да")+COUNTIF(I192,"да")+COUNTIF(I252,"да")+COUNTIF(I277:I301,"да")</f>
        <v>1</v>
      </c>
      <c r="J28" s="114"/>
      <c r="K28" s="132"/>
    </row>
    <row r="29" spans="1:11" s="12" customFormat="1" x14ac:dyDescent="0.25">
      <c r="A29" s="130"/>
      <c r="B29" s="130"/>
      <c r="C29" s="5" t="s">
        <v>16</v>
      </c>
      <c r="D29" s="54">
        <v>23608.2</v>
      </c>
      <c r="E29" s="36">
        <f>E194+E269</f>
        <v>10634.5</v>
      </c>
      <c r="F29" s="31">
        <f>E29/D29*100</f>
        <v>45.045789174947686</v>
      </c>
      <c r="G29" s="100"/>
      <c r="H29" s="8" t="s">
        <v>20</v>
      </c>
      <c r="I29" s="2">
        <f>COUNTIF(I122:I141,"частично")+COUNTIF(I147:I161,"частично")+COUNTIF(I167:I186,"частично")+COUNTIF(I192,"частично")+COUNTIF(I252,"частично")+COUNTIF(I277:I301,"частично")</f>
        <v>15</v>
      </c>
      <c r="J29" s="114"/>
      <c r="K29" s="132"/>
    </row>
    <row r="30" spans="1:11" s="12" customFormat="1" x14ac:dyDescent="0.25">
      <c r="A30" s="130"/>
      <c r="B30" s="130"/>
      <c r="C30" s="5" t="s">
        <v>15</v>
      </c>
      <c r="D30" s="54">
        <v>0</v>
      </c>
      <c r="E30" s="31">
        <v>0</v>
      </c>
      <c r="F30" s="31"/>
      <c r="G30" s="100"/>
      <c r="H30" s="8" t="s">
        <v>21</v>
      </c>
      <c r="I30" s="2">
        <f>COUNTIF(I122:I141,"нет")+COUNTIF(I147:I161,"нет")+COUNTIF(I167:I186,"нет")+COUNTIF(I192,"нет")+COUNTIF(I252,"нет")+COUNTIF(I277:I301,"нет")</f>
        <v>1</v>
      </c>
      <c r="J30" s="114"/>
      <c r="K30" s="132"/>
    </row>
    <row r="31" spans="1:11" s="12" customFormat="1" x14ac:dyDescent="0.25">
      <c r="A31" s="130"/>
      <c r="B31" s="130"/>
      <c r="C31" s="5" t="s">
        <v>17</v>
      </c>
      <c r="D31" s="54">
        <v>0</v>
      </c>
      <c r="E31" s="31">
        <v>0</v>
      </c>
      <c r="F31" s="31"/>
      <c r="G31" s="101"/>
      <c r="H31" s="8" t="s">
        <v>22</v>
      </c>
      <c r="I31" s="3">
        <f>I28/I27*100</f>
        <v>5.8823529411764701</v>
      </c>
      <c r="J31" s="115"/>
      <c r="K31" s="133"/>
    </row>
    <row r="32" spans="1:11" x14ac:dyDescent="0.25">
      <c r="A32" s="130"/>
      <c r="B32" s="130" t="s">
        <v>91</v>
      </c>
      <c r="C32" s="5" t="s">
        <v>13</v>
      </c>
      <c r="D32" s="54">
        <v>1252.8</v>
      </c>
      <c r="E32" s="31">
        <f>E33+E34+E35+E36</f>
        <v>260.2</v>
      </c>
      <c r="F32" s="31">
        <f>E32/D32*100</f>
        <v>20.769476372924647</v>
      </c>
      <c r="G32" s="99"/>
      <c r="H32" s="8" t="s">
        <v>18</v>
      </c>
      <c r="I32" s="2">
        <f>COUNTA(I222)</f>
        <v>1</v>
      </c>
      <c r="J32" s="113" t="s">
        <v>23</v>
      </c>
      <c r="K32" s="131" t="s">
        <v>23</v>
      </c>
    </row>
    <row r="33" spans="1:11" x14ac:dyDescent="0.25">
      <c r="A33" s="130"/>
      <c r="B33" s="130"/>
      <c r="C33" s="5" t="s">
        <v>14</v>
      </c>
      <c r="D33" s="54">
        <v>0</v>
      </c>
      <c r="E33" s="31">
        <v>0</v>
      </c>
      <c r="F33" s="31"/>
      <c r="G33" s="100"/>
      <c r="H33" s="8" t="s">
        <v>19</v>
      </c>
      <c r="I33" s="2">
        <f>COUNTIF(I222,"да")</f>
        <v>0</v>
      </c>
      <c r="J33" s="114"/>
      <c r="K33" s="132"/>
    </row>
    <row r="34" spans="1:11" x14ac:dyDescent="0.25">
      <c r="A34" s="130"/>
      <c r="B34" s="130"/>
      <c r="C34" s="5" t="s">
        <v>16</v>
      </c>
      <c r="D34" s="54">
        <v>1252.8</v>
      </c>
      <c r="E34" s="36">
        <f>E224</f>
        <v>260.2</v>
      </c>
      <c r="F34" s="31">
        <f t="shared" ref="F34:F39" si="1">E34/D34*100</f>
        <v>20.769476372924647</v>
      </c>
      <c r="G34" s="100"/>
      <c r="H34" s="8" t="s">
        <v>20</v>
      </c>
      <c r="I34" s="2">
        <f>COUNTIF(I222,"частично")</f>
        <v>1</v>
      </c>
      <c r="J34" s="114"/>
      <c r="K34" s="132"/>
    </row>
    <row r="35" spans="1:11" x14ac:dyDescent="0.25">
      <c r="A35" s="130"/>
      <c r="B35" s="130"/>
      <c r="C35" s="5" t="s">
        <v>15</v>
      </c>
      <c r="D35" s="54">
        <v>0</v>
      </c>
      <c r="E35" s="31">
        <v>0</v>
      </c>
      <c r="F35" s="31"/>
      <c r="G35" s="100"/>
      <c r="H35" s="8" t="s">
        <v>21</v>
      </c>
      <c r="I35" s="2">
        <f>COUNTIF(I222,"нет")</f>
        <v>0</v>
      </c>
      <c r="J35" s="114"/>
      <c r="K35" s="132"/>
    </row>
    <row r="36" spans="1:11" x14ac:dyDescent="0.25">
      <c r="A36" s="130"/>
      <c r="B36" s="130"/>
      <c r="C36" s="5" t="s">
        <v>17</v>
      </c>
      <c r="D36" s="54">
        <v>0</v>
      </c>
      <c r="E36" s="41">
        <v>0</v>
      </c>
      <c r="F36" s="31"/>
      <c r="G36" s="101"/>
      <c r="H36" s="8" t="s">
        <v>22</v>
      </c>
      <c r="I36" s="3">
        <f>I33/I32*100</f>
        <v>0</v>
      </c>
      <c r="J36" s="115"/>
      <c r="K36" s="133"/>
    </row>
    <row r="37" spans="1:11" x14ac:dyDescent="0.25">
      <c r="A37" s="86"/>
      <c r="B37" s="130" t="s">
        <v>92</v>
      </c>
      <c r="C37" s="5" t="s">
        <v>13</v>
      </c>
      <c r="D37" s="54">
        <v>3512.7000000000003</v>
      </c>
      <c r="E37" s="31">
        <f>E38+E39+E40+E41</f>
        <v>1608.6000000000001</v>
      </c>
      <c r="F37" s="31">
        <f t="shared" si="1"/>
        <v>45.793833803057474</v>
      </c>
      <c r="G37" s="99"/>
      <c r="H37" s="8" t="s">
        <v>18</v>
      </c>
      <c r="I37" s="2">
        <f>COUNTA(I202:I206,I212:I216)</f>
        <v>2</v>
      </c>
      <c r="J37" s="113" t="s">
        <v>23</v>
      </c>
      <c r="K37" s="131" t="s">
        <v>23</v>
      </c>
    </row>
    <row r="38" spans="1:11" x14ac:dyDescent="0.25">
      <c r="A38" s="87"/>
      <c r="B38" s="130"/>
      <c r="C38" s="5" t="s">
        <v>14</v>
      </c>
      <c r="D38" s="54">
        <v>50.4</v>
      </c>
      <c r="E38" s="36">
        <f>E198</f>
        <v>2.9</v>
      </c>
      <c r="F38" s="31">
        <f t="shared" si="1"/>
        <v>5.753968253968254</v>
      </c>
      <c r="G38" s="100"/>
      <c r="H38" s="8" t="s">
        <v>19</v>
      </c>
      <c r="I38" s="2">
        <f>COUNTIF(I62:I76,"да")</f>
        <v>0</v>
      </c>
      <c r="J38" s="114"/>
      <c r="K38" s="132"/>
    </row>
    <row r="39" spans="1:11" x14ac:dyDescent="0.25">
      <c r="A39" s="87"/>
      <c r="B39" s="130"/>
      <c r="C39" s="5" t="s">
        <v>16</v>
      </c>
      <c r="D39" s="54">
        <v>3462.3</v>
      </c>
      <c r="E39" s="36">
        <f>E209</f>
        <v>1605.7</v>
      </c>
      <c r="F39" s="31">
        <f t="shared" si="1"/>
        <v>46.376686017964936</v>
      </c>
      <c r="G39" s="100"/>
      <c r="H39" s="8" t="s">
        <v>20</v>
      </c>
      <c r="I39" s="2">
        <f>COUNTIF(I202:I206,"частично")+COUNTIF(I212:I216,"частично")</f>
        <v>2</v>
      </c>
      <c r="J39" s="114"/>
      <c r="K39" s="132"/>
    </row>
    <row r="40" spans="1:11" x14ac:dyDescent="0.25">
      <c r="A40" s="87"/>
      <c r="B40" s="130"/>
      <c r="C40" s="5" t="s">
        <v>15</v>
      </c>
      <c r="D40" s="54">
        <v>0</v>
      </c>
      <c r="E40" s="31">
        <v>0</v>
      </c>
      <c r="F40" s="31"/>
      <c r="G40" s="100"/>
      <c r="H40" s="8" t="s">
        <v>21</v>
      </c>
      <c r="I40" s="2">
        <f>COUNTIF(I62:I76,"нет")</f>
        <v>0</v>
      </c>
      <c r="J40" s="114"/>
      <c r="K40" s="132"/>
    </row>
    <row r="41" spans="1:11" x14ac:dyDescent="0.25">
      <c r="A41" s="88"/>
      <c r="B41" s="130"/>
      <c r="C41" s="5" t="s">
        <v>17</v>
      </c>
      <c r="D41" s="54">
        <v>0</v>
      </c>
      <c r="E41" s="31">
        <v>0</v>
      </c>
      <c r="F41" s="31"/>
      <c r="G41" s="101"/>
      <c r="H41" s="8" t="s">
        <v>22</v>
      </c>
      <c r="I41" s="3">
        <f>I38/I37*100</f>
        <v>0</v>
      </c>
      <c r="J41" s="115"/>
      <c r="K41" s="133"/>
    </row>
    <row r="42" spans="1:11" x14ac:dyDescent="0.25">
      <c r="A42" s="86"/>
      <c r="B42" s="130" t="s">
        <v>93</v>
      </c>
      <c r="C42" s="5" t="s">
        <v>13</v>
      </c>
      <c r="D42" s="54">
        <v>0</v>
      </c>
      <c r="E42" s="31">
        <f>E43+E44+E45+E46</f>
        <v>0</v>
      </c>
      <c r="F42" s="31"/>
      <c r="G42" s="99"/>
      <c r="H42" s="8" t="s">
        <v>18</v>
      </c>
      <c r="I42" s="2">
        <f>COUNTA(I242)</f>
        <v>0</v>
      </c>
      <c r="J42" s="113" t="s">
        <v>23</v>
      </c>
      <c r="K42" s="131" t="s">
        <v>23</v>
      </c>
    </row>
    <row r="43" spans="1:11" x14ac:dyDescent="0.25">
      <c r="A43" s="87"/>
      <c r="B43" s="130"/>
      <c r="C43" s="5" t="s">
        <v>14</v>
      </c>
      <c r="D43" s="54">
        <v>0</v>
      </c>
      <c r="E43" s="36">
        <v>0</v>
      </c>
      <c r="F43" s="31"/>
      <c r="G43" s="100"/>
      <c r="H43" s="8" t="s">
        <v>19</v>
      </c>
      <c r="I43" s="2">
        <f>COUNTIF(I242,"да")</f>
        <v>0</v>
      </c>
      <c r="J43" s="114"/>
      <c r="K43" s="132"/>
    </row>
    <row r="44" spans="1:11" x14ac:dyDescent="0.25">
      <c r="A44" s="87"/>
      <c r="B44" s="130"/>
      <c r="C44" s="5" t="s">
        <v>16</v>
      </c>
      <c r="D44" s="54">
        <v>0</v>
      </c>
      <c r="E44" s="31">
        <v>0</v>
      </c>
      <c r="F44" s="31"/>
      <c r="G44" s="100"/>
      <c r="H44" s="8" t="s">
        <v>20</v>
      </c>
      <c r="I44" s="2">
        <f>COUNTIF(I242,"частично")</f>
        <v>0</v>
      </c>
      <c r="J44" s="114"/>
      <c r="K44" s="132"/>
    </row>
    <row r="45" spans="1:11" x14ac:dyDescent="0.25">
      <c r="A45" s="87"/>
      <c r="B45" s="130"/>
      <c r="C45" s="5" t="s">
        <v>15</v>
      </c>
      <c r="D45" s="54">
        <v>0</v>
      </c>
      <c r="E45" s="31">
        <v>0</v>
      </c>
      <c r="F45" s="31"/>
      <c r="G45" s="100"/>
      <c r="H45" s="8" t="s">
        <v>21</v>
      </c>
      <c r="I45" s="2">
        <f>COUNTIF(I242,"нет")</f>
        <v>0</v>
      </c>
      <c r="J45" s="114"/>
      <c r="K45" s="132"/>
    </row>
    <row r="46" spans="1:11" ht="14.45" customHeight="1" x14ac:dyDescent="0.25">
      <c r="A46" s="88"/>
      <c r="B46" s="130"/>
      <c r="C46" s="5" t="s">
        <v>17</v>
      </c>
      <c r="D46" s="54"/>
      <c r="E46" s="31">
        <v>0</v>
      </c>
      <c r="F46" s="31"/>
      <c r="G46" s="101"/>
      <c r="H46" s="8" t="s">
        <v>22</v>
      </c>
      <c r="I46" s="3">
        <v>0</v>
      </c>
      <c r="J46" s="115"/>
      <c r="K46" s="133"/>
    </row>
    <row r="47" spans="1:11" ht="15" customHeight="1" x14ac:dyDescent="0.25">
      <c r="A47" s="90" t="s">
        <v>25</v>
      </c>
      <c r="B47" s="90" t="s">
        <v>177</v>
      </c>
      <c r="C47" s="4" t="s">
        <v>13</v>
      </c>
      <c r="D47" s="52">
        <f>SUM(D48:D50)</f>
        <v>811364.5</v>
      </c>
      <c r="E47" s="24">
        <f>E48+E49+E50+E51</f>
        <v>213326.90000000002</v>
      </c>
      <c r="F47" s="24">
        <f>E47/D47*100</f>
        <v>26.292363050145777</v>
      </c>
      <c r="G47" s="131"/>
      <c r="H47" s="9" t="s">
        <v>18</v>
      </c>
      <c r="I47" s="23">
        <f>I52+I77</f>
        <v>7</v>
      </c>
      <c r="J47" s="113" t="s">
        <v>148</v>
      </c>
      <c r="K47" s="131"/>
    </row>
    <row r="48" spans="1:11" x14ac:dyDescent="0.25">
      <c r="A48" s="91"/>
      <c r="B48" s="91"/>
      <c r="C48" s="4" t="s">
        <v>14</v>
      </c>
      <c r="D48" s="53">
        <f t="shared" ref="D48:D50" si="2">D53+D78</f>
        <v>4950.1000000000004</v>
      </c>
      <c r="E48" s="24">
        <f>E53+E78</f>
        <v>4.2</v>
      </c>
      <c r="F48" s="24">
        <f>E48/D48*100</f>
        <v>8.4846770772307636E-2</v>
      </c>
      <c r="G48" s="132"/>
      <c r="H48" s="9" t="s">
        <v>19</v>
      </c>
      <c r="I48" s="23">
        <f>I53+I78</f>
        <v>0</v>
      </c>
      <c r="J48" s="114"/>
      <c r="K48" s="132"/>
    </row>
    <row r="49" spans="1:11" x14ac:dyDescent="0.25">
      <c r="A49" s="91"/>
      <c r="B49" s="91"/>
      <c r="C49" s="4" t="s">
        <v>16</v>
      </c>
      <c r="D49" s="53">
        <f>D54+D79</f>
        <v>806414.4</v>
      </c>
      <c r="E49" s="24">
        <f t="shared" ref="E49:E51" si="3">E54+E79</f>
        <v>213322.7</v>
      </c>
      <c r="F49" s="24">
        <f>E49/D49*100</f>
        <v>26.45323545809698</v>
      </c>
      <c r="G49" s="132"/>
      <c r="H49" s="9" t="s">
        <v>20</v>
      </c>
      <c r="I49" s="23">
        <f>I54+I79</f>
        <v>7</v>
      </c>
      <c r="J49" s="114"/>
      <c r="K49" s="132"/>
    </row>
    <row r="50" spans="1:11" x14ac:dyDescent="0.25">
      <c r="A50" s="91"/>
      <c r="B50" s="91"/>
      <c r="C50" s="4" t="s">
        <v>15</v>
      </c>
      <c r="D50" s="54">
        <f t="shared" si="2"/>
        <v>0</v>
      </c>
      <c r="E50" s="24">
        <f t="shared" si="3"/>
        <v>0</v>
      </c>
      <c r="F50" s="24"/>
      <c r="G50" s="132"/>
      <c r="H50" s="9" t="s">
        <v>21</v>
      </c>
      <c r="I50" s="23">
        <f>I55+I80</f>
        <v>0</v>
      </c>
      <c r="J50" s="114"/>
      <c r="K50" s="132"/>
    </row>
    <row r="51" spans="1:11" ht="29.45" customHeight="1" x14ac:dyDescent="0.25">
      <c r="A51" s="92"/>
      <c r="B51" s="92"/>
      <c r="C51" s="4" t="s">
        <v>17</v>
      </c>
      <c r="D51" s="55">
        <v>0</v>
      </c>
      <c r="E51" s="24">
        <f t="shared" si="3"/>
        <v>0</v>
      </c>
      <c r="F51" s="24"/>
      <c r="G51" s="133"/>
      <c r="H51" s="9" t="s">
        <v>22</v>
      </c>
      <c r="I51" s="7">
        <f>I48/I47*100</f>
        <v>0</v>
      </c>
      <c r="J51" s="115"/>
      <c r="K51" s="133"/>
    </row>
    <row r="52" spans="1:11" ht="15" customHeight="1" x14ac:dyDescent="0.25">
      <c r="A52" s="86" t="s">
        <v>26</v>
      </c>
      <c r="B52" s="86" t="s">
        <v>94</v>
      </c>
      <c r="C52" s="5" t="s">
        <v>13</v>
      </c>
      <c r="D52" s="53">
        <f>SUM(D54:D55)</f>
        <v>304235.3</v>
      </c>
      <c r="E52" s="41">
        <f>E53+E54+E55</f>
        <v>138418.40000000002</v>
      </c>
      <c r="F52" s="31">
        <f>E52/D52*100</f>
        <v>45.49715302596379</v>
      </c>
      <c r="G52" s="99"/>
      <c r="H52" s="8" t="s">
        <v>18</v>
      </c>
      <c r="I52" s="2">
        <f>COUNTA(I62:I76)</f>
        <v>3</v>
      </c>
      <c r="J52" s="99" t="s">
        <v>88</v>
      </c>
      <c r="K52" s="99"/>
    </row>
    <row r="53" spans="1:11" x14ac:dyDescent="0.25">
      <c r="A53" s="87"/>
      <c r="B53" s="87"/>
      <c r="C53" s="5" t="s">
        <v>14</v>
      </c>
      <c r="D53" s="54">
        <f t="shared" ref="D53" si="4">D58</f>
        <v>0</v>
      </c>
      <c r="E53" s="31">
        <f>E63+E68+E73</f>
        <v>0</v>
      </c>
      <c r="F53" s="31"/>
      <c r="G53" s="100"/>
      <c r="H53" s="8" t="s">
        <v>19</v>
      </c>
      <c r="I53" s="2">
        <f>COUNTIF(I62:I76,"да")</f>
        <v>0</v>
      </c>
      <c r="J53" s="100"/>
      <c r="K53" s="100"/>
    </row>
    <row r="54" spans="1:11" x14ac:dyDescent="0.25">
      <c r="A54" s="87"/>
      <c r="B54" s="87"/>
      <c r="C54" s="5" t="s">
        <v>16</v>
      </c>
      <c r="D54" s="53">
        <f>D59</f>
        <v>304235.3</v>
      </c>
      <c r="E54" s="31">
        <f t="shared" ref="E54:E56" si="5">E64+E69+E74</f>
        <v>138418.40000000002</v>
      </c>
      <c r="F54" s="31">
        <f>E54/D54*100</f>
        <v>45.49715302596379</v>
      </c>
      <c r="G54" s="100"/>
      <c r="H54" s="8" t="s">
        <v>20</v>
      </c>
      <c r="I54" s="2">
        <f>COUNTIF(I62:I76,"частично")</f>
        <v>3</v>
      </c>
      <c r="J54" s="100"/>
      <c r="K54" s="100"/>
    </row>
    <row r="55" spans="1:11" x14ac:dyDescent="0.25">
      <c r="A55" s="87"/>
      <c r="B55" s="87"/>
      <c r="C55" s="5" t="s">
        <v>15</v>
      </c>
      <c r="D55" s="54">
        <v>0</v>
      </c>
      <c r="E55" s="31">
        <f t="shared" si="5"/>
        <v>0</v>
      </c>
      <c r="F55" s="31"/>
      <c r="G55" s="100"/>
      <c r="H55" s="8" t="s">
        <v>21</v>
      </c>
      <c r="I55" s="2">
        <f>COUNTIF(I62:I76,"нет")</f>
        <v>0</v>
      </c>
      <c r="J55" s="100"/>
      <c r="K55" s="100"/>
    </row>
    <row r="56" spans="1:11" ht="30.75" customHeight="1" x14ac:dyDescent="0.25">
      <c r="A56" s="88"/>
      <c r="B56" s="88"/>
      <c r="C56" s="5" t="s">
        <v>17</v>
      </c>
      <c r="D56" s="55">
        <v>0</v>
      </c>
      <c r="E56" s="31">
        <f t="shared" si="5"/>
        <v>0</v>
      </c>
      <c r="F56" s="31"/>
      <c r="G56" s="101"/>
      <c r="H56" s="8" t="s">
        <v>22</v>
      </c>
      <c r="I56" s="3">
        <f>I53/I52*100</f>
        <v>0</v>
      </c>
      <c r="J56" s="101"/>
      <c r="K56" s="101"/>
    </row>
    <row r="57" spans="1:11" ht="19.149999999999999" customHeight="1" x14ac:dyDescent="0.25">
      <c r="A57" s="80" t="s">
        <v>27</v>
      </c>
      <c r="B57" s="80" t="s">
        <v>98</v>
      </c>
      <c r="C57" s="37" t="s">
        <v>13</v>
      </c>
      <c r="D57" s="54">
        <f>SUM(D58:D60)</f>
        <v>304235.3</v>
      </c>
      <c r="E57" s="38">
        <f>E58+E59</f>
        <v>138418.40000000002</v>
      </c>
      <c r="F57" s="38">
        <f>E57/D57*100</f>
        <v>45.49715302596379</v>
      </c>
      <c r="G57" s="83" t="s">
        <v>244</v>
      </c>
      <c r="H57" s="83" t="s">
        <v>287</v>
      </c>
      <c r="I57" s="103" t="s">
        <v>246</v>
      </c>
      <c r="J57" s="110" t="s">
        <v>88</v>
      </c>
      <c r="K57" s="83"/>
    </row>
    <row r="58" spans="1:11" x14ac:dyDescent="0.25">
      <c r="A58" s="81"/>
      <c r="B58" s="81"/>
      <c r="C58" s="37" t="s">
        <v>14</v>
      </c>
      <c r="D58" s="54">
        <f t="shared" ref="D58:D60" si="6">D63+D68+D73</f>
        <v>0</v>
      </c>
      <c r="E58" s="38">
        <f>E63+E68+E73</f>
        <v>0</v>
      </c>
      <c r="F58" s="38"/>
      <c r="G58" s="84"/>
      <c r="H58" s="84"/>
      <c r="I58" s="104"/>
      <c r="J58" s="111"/>
      <c r="K58" s="84"/>
    </row>
    <row r="59" spans="1:11" x14ac:dyDescent="0.25">
      <c r="A59" s="81"/>
      <c r="B59" s="81"/>
      <c r="C59" s="37" t="s">
        <v>16</v>
      </c>
      <c r="D59" s="54">
        <f>D64+D69+D74</f>
        <v>304235.3</v>
      </c>
      <c r="E59" s="38">
        <f t="shared" ref="E59:E61" si="7">E64+E69+E74</f>
        <v>138418.40000000002</v>
      </c>
      <c r="F59" s="38">
        <f>E59/D59*100</f>
        <v>45.49715302596379</v>
      </c>
      <c r="G59" s="84"/>
      <c r="H59" s="84"/>
      <c r="I59" s="104"/>
      <c r="J59" s="111"/>
      <c r="K59" s="84"/>
    </row>
    <row r="60" spans="1:11" x14ac:dyDescent="0.25">
      <c r="A60" s="81"/>
      <c r="B60" s="81"/>
      <c r="C60" s="37" t="s">
        <v>15</v>
      </c>
      <c r="D60" s="54">
        <f t="shared" si="6"/>
        <v>0</v>
      </c>
      <c r="E60" s="38">
        <f t="shared" si="7"/>
        <v>0</v>
      </c>
      <c r="F60" s="38"/>
      <c r="G60" s="84"/>
      <c r="H60" s="84"/>
      <c r="I60" s="104"/>
      <c r="J60" s="111"/>
      <c r="K60" s="84"/>
    </row>
    <row r="61" spans="1:11" ht="55.5" customHeight="1" x14ac:dyDescent="0.25">
      <c r="A61" s="82"/>
      <c r="B61" s="82"/>
      <c r="C61" s="37" t="s">
        <v>17</v>
      </c>
      <c r="D61" s="56"/>
      <c r="E61" s="38">
        <f t="shared" si="7"/>
        <v>0</v>
      </c>
      <c r="F61" s="38"/>
      <c r="G61" s="85"/>
      <c r="H61" s="85"/>
      <c r="I61" s="105"/>
      <c r="J61" s="112"/>
      <c r="K61" s="85"/>
    </row>
    <row r="62" spans="1:11" s="39" customFormat="1" ht="15" customHeight="1" x14ac:dyDescent="0.25">
      <c r="A62" s="80" t="s">
        <v>95</v>
      </c>
      <c r="B62" s="80" t="s">
        <v>99</v>
      </c>
      <c r="C62" s="37" t="s">
        <v>13</v>
      </c>
      <c r="D62" s="54">
        <f t="shared" ref="D62" si="8">D63+D64+D65+D66</f>
        <v>114292</v>
      </c>
      <c r="E62" s="38">
        <f>E63+E64</f>
        <v>57904.400000000009</v>
      </c>
      <c r="F62" s="38">
        <f>E62/D62*100</f>
        <v>50.663563504007293</v>
      </c>
      <c r="G62" s="83" t="s">
        <v>292</v>
      </c>
      <c r="H62" s="139" t="s">
        <v>288</v>
      </c>
      <c r="I62" s="103" t="s">
        <v>246</v>
      </c>
      <c r="J62" s="110" t="s">
        <v>88</v>
      </c>
      <c r="K62" s="83"/>
    </row>
    <row r="63" spans="1:11" s="39" customFormat="1" x14ac:dyDescent="0.25">
      <c r="A63" s="81"/>
      <c r="B63" s="81"/>
      <c r="C63" s="37" t="s">
        <v>14</v>
      </c>
      <c r="D63" s="54">
        <v>0</v>
      </c>
      <c r="E63" s="38">
        <v>0</v>
      </c>
      <c r="F63" s="38"/>
      <c r="G63" s="84"/>
      <c r="H63" s="140"/>
      <c r="I63" s="104"/>
      <c r="J63" s="111"/>
      <c r="K63" s="84"/>
    </row>
    <row r="64" spans="1:11" s="39" customFormat="1" x14ac:dyDescent="0.25">
      <c r="A64" s="81"/>
      <c r="B64" s="81"/>
      <c r="C64" s="37" t="s">
        <v>16</v>
      </c>
      <c r="D64" s="54">
        <v>114292</v>
      </c>
      <c r="E64" s="40">
        <v>57904.400000000009</v>
      </c>
      <c r="F64" s="38">
        <f>E64/D64*100</f>
        <v>50.663563504007293</v>
      </c>
      <c r="G64" s="84"/>
      <c r="H64" s="140"/>
      <c r="I64" s="104"/>
      <c r="J64" s="111"/>
      <c r="K64" s="84"/>
    </row>
    <row r="65" spans="1:11" s="39" customFormat="1" x14ac:dyDescent="0.25">
      <c r="A65" s="81"/>
      <c r="B65" s="81"/>
      <c r="C65" s="37" t="s">
        <v>15</v>
      </c>
      <c r="D65" s="54">
        <v>0</v>
      </c>
      <c r="E65" s="38">
        <v>0</v>
      </c>
      <c r="F65" s="38"/>
      <c r="G65" s="84"/>
      <c r="H65" s="140"/>
      <c r="I65" s="104"/>
      <c r="J65" s="111"/>
      <c r="K65" s="84"/>
    </row>
    <row r="66" spans="1:11" s="39" customFormat="1" ht="28.5" customHeight="1" x14ac:dyDescent="0.25">
      <c r="A66" s="82"/>
      <c r="B66" s="82"/>
      <c r="C66" s="37" t="s">
        <v>17</v>
      </c>
      <c r="D66" s="51">
        <v>0</v>
      </c>
      <c r="E66" s="38">
        <v>0</v>
      </c>
      <c r="F66" s="38"/>
      <c r="G66" s="85"/>
      <c r="H66" s="141"/>
      <c r="I66" s="105"/>
      <c r="J66" s="112"/>
      <c r="K66" s="85"/>
    </row>
    <row r="67" spans="1:11" s="39" customFormat="1" ht="14.45" customHeight="1" x14ac:dyDescent="0.25">
      <c r="A67" s="80" t="s">
        <v>96</v>
      </c>
      <c r="B67" s="80" t="s">
        <v>100</v>
      </c>
      <c r="C67" s="37" t="s">
        <v>13</v>
      </c>
      <c r="D67" s="54">
        <f t="shared" ref="D67" si="9">D68+D69+D70+D71</f>
        <v>86747.3</v>
      </c>
      <c r="E67" s="38">
        <f>E68+E69</f>
        <v>42388.2</v>
      </c>
      <c r="F67" s="38">
        <f>E67/D67*100</f>
        <v>48.863999225336116</v>
      </c>
      <c r="G67" s="83" t="s">
        <v>291</v>
      </c>
      <c r="H67" s="83" t="s">
        <v>245</v>
      </c>
      <c r="I67" s="103" t="s">
        <v>246</v>
      </c>
      <c r="J67" s="110" t="s">
        <v>88</v>
      </c>
      <c r="K67" s="83"/>
    </row>
    <row r="68" spans="1:11" s="39" customFormat="1" x14ac:dyDescent="0.25">
      <c r="A68" s="81"/>
      <c r="B68" s="81"/>
      <c r="C68" s="37" t="s">
        <v>14</v>
      </c>
      <c r="D68" s="54">
        <v>0</v>
      </c>
      <c r="E68" s="38">
        <v>0</v>
      </c>
      <c r="F68" s="38"/>
      <c r="G68" s="84"/>
      <c r="H68" s="84"/>
      <c r="I68" s="104"/>
      <c r="J68" s="111"/>
      <c r="K68" s="84"/>
    </row>
    <row r="69" spans="1:11" s="39" customFormat="1" x14ac:dyDescent="0.25">
      <c r="A69" s="81"/>
      <c r="B69" s="81"/>
      <c r="C69" s="37" t="s">
        <v>16</v>
      </c>
      <c r="D69" s="54">
        <v>86747.3</v>
      </c>
      <c r="E69" s="40">
        <v>42388.2</v>
      </c>
      <c r="F69" s="38">
        <f>E69/D69*100</f>
        <v>48.863999225336116</v>
      </c>
      <c r="G69" s="84"/>
      <c r="H69" s="84"/>
      <c r="I69" s="104"/>
      <c r="J69" s="111"/>
      <c r="K69" s="84"/>
    </row>
    <row r="70" spans="1:11" s="39" customFormat="1" x14ac:dyDescent="0.25">
      <c r="A70" s="81"/>
      <c r="B70" s="81"/>
      <c r="C70" s="37" t="s">
        <v>15</v>
      </c>
      <c r="D70" s="54">
        <v>0</v>
      </c>
      <c r="E70" s="38">
        <v>0</v>
      </c>
      <c r="F70" s="38"/>
      <c r="G70" s="84"/>
      <c r="H70" s="84"/>
      <c r="I70" s="104"/>
      <c r="J70" s="111"/>
      <c r="K70" s="84"/>
    </row>
    <row r="71" spans="1:11" s="39" customFormat="1" ht="51" customHeight="1" x14ac:dyDescent="0.25">
      <c r="A71" s="82"/>
      <c r="B71" s="82"/>
      <c r="C71" s="37" t="s">
        <v>17</v>
      </c>
      <c r="D71" s="54">
        <v>0</v>
      </c>
      <c r="E71" s="38">
        <v>0</v>
      </c>
      <c r="F71" s="38"/>
      <c r="G71" s="84"/>
      <c r="H71" s="84"/>
      <c r="I71" s="105"/>
      <c r="J71" s="112"/>
      <c r="K71" s="85"/>
    </row>
    <row r="72" spans="1:11" s="39" customFormat="1" ht="15" customHeight="1" x14ac:dyDescent="0.25">
      <c r="A72" s="80" t="s">
        <v>97</v>
      </c>
      <c r="B72" s="80" t="s">
        <v>101</v>
      </c>
      <c r="C72" s="37" t="s">
        <v>13</v>
      </c>
      <c r="D72" s="54">
        <f t="shared" ref="D72" si="10">D73+D74+D75+D76</f>
        <v>103196</v>
      </c>
      <c r="E72" s="38">
        <f>E73+E74</f>
        <v>38125.800000000003</v>
      </c>
      <c r="F72" s="38">
        <f>E72/D72*100</f>
        <v>36.945036629326722</v>
      </c>
      <c r="G72" s="94"/>
      <c r="H72" s="94"/>
      <c r="I72" s="103" t="s">
        <v>246</v>
      </c>
      <c r="J72" s="110" t="s">
        <v>88</v>
      </c>
      <c r="K72" s="83"/>
    </row>
    <row r="73" spans="1:11" s="39" customFormat="1" x14ac:dyDescent="0.25">
      <c r="A73" s="81"/>
      <c r="B73" s="81"/>
      <c r="C73" s="37" t="s">
        <v>14</v>
      </c>
      <c r="D73" s="54">
        <v>0</v>
      </c>
      <c r="E73" s="38">
        <v>0</v>
      </c>
      <c r="F73" s="38"/>
      <c r="G73" s="94"/>
      <c r="H73" s="94"/>
      <c r="I73" s="104"/>
      <c r="J73" s="111"/>
      <c r="K73" s="84"/>
    </row>
    <row r="74" spans="1:11" s="39" customFormat="1" x14ac:dyDescent="0.25">
      <c r="A74" s="81"/>
      <c r="B74" s="81"/>
      <c r="C74" s="37" t="s">
        <v>16</v>
      </c>
      <c r="D74" s="54">
        <v>103196</v>
      </c>
      <c r="E74" s="40">
        <v>38125.800000000003</v>
      </c>
      <c r="F74" s="38">
        <f>E74/D74*100</f>
        <v>36.945036629326722</v>
      </c>
      <c r="G74" s="94"/>
      <c r="H74" s="94"/>
      <c r="I74" s="104"/>
      <c r="J74" s="111"/>
      <c r="K74" s="84"/>
    </row>
    <row r="75" spans="1:11" s="39" customFormat="1" x14ac:dyDescent="0.25">
      <c r="A75" s="81"/>
      <c r="B75" s="81"/>
      <c r="C75" s="37" t="s">
        <v>15</v>
      </c>
      <c r="D75" s="54">
        <v>0</v>
      </c>
      <c r="E75" s="38">
        <v>0</v>
      </c>
      <c r="F75" s="38"/>
      <c r="G75" s="94"/>
      <c r="H75" s="94"/>
      <c r="I75" s="104"/>
      <c r="J75" s="111"/>
      <c r="K75" s="84"/>
    </row>
    <row r="76" spans="1:11" s="39" customFormat="1" ht="18" customHeight="1" x14ac:dyDescent="0.25">
      <c r="A76" s="82"/>
      <c r="B76" s="82"/>
      <c r="C76" s="37" t="s">
        <v>17</v>
      </c>
      <c r="D76" s="54">
        <v>0</v>
      </c>
      <c r="E76" s="38">
        <v>0</v>
      </c>
      <c r="F76" s="38"/>
      <c r="G76" s="95"/>
      <c r="H76" s="95"/>
      <c r="I76" s="105"/>
      <c r="J76" s="112"/>
      <c r="K76" s="85"/>
    </row>
    <row r="77" spans="1:11" s="39" customFormat="1" ht="13.9" customHeight="1" x14ac:dyDescent="0.25">
      <c r="A77" s="86" t="s">
        <v>52</v>
      </c>
      <c r="B77" s="86" t="s">
        <v>107</v>
      </c>
      <c r="C77" s="5" t="s">
        <v>13</v>
      </c>
      <c r="D77" s="53">
        <f t="shared" ref="D77" si="11">SUM(D78:D81)</f>
        <v>507129.2</v>
      </c>
      <c r="E77" s="31">
        <f>E78+E79+E80</f>
        <v>74908.499999999985</v>
      </c>
      <c r="F77" s="31">
        <f>E77/D77*100</f>
        <v>14.771087920001449</v>
      </c>
      <c r="G77" s="99"/>
      <c r="H77" s="8" t="s">
        <v>18</v>
      </c>
      <c r="I77" s="2">
        <f>COUNTA(I82:I106)</f>
        <v>4</v>
      </c>
      <c r="J77" s="99" t="s">
        <v>148</v>
      </c>
      <c r="K77" s="99"/>
    </row>
    <row r="78" spans="1:11" s="39" customFormat="1" x14ac:dyDescent="0.25">
      <c r="A78" s="87"/>
      <c r="B78" s="87"/>
      <c r="C78" s="5" t="s">
        <v>14</v>
      </c>
      <c r="D78" s="53">
        <f t="shared" ref="D78:D79" si="12">D83+D88+D93+D98+D103</f>
        <v>4950.1000000000004</v>
      </c>
      <c r="E78" s="31">
        <f>E83+E88+E93+E98+E103</f>
        <v>4.2</v>
      </c>
      <c r="F78" s="31">
        <f>E78/D78*100</f>
        <v>8.4846770772307636E-2</v>
      </c>
      <c r="G78" s="100"/>
      <c r="H78" s="8" t="s">
        <v>19</v>
      </c>
      <c r="I78" s="2">
        <f>COUNTIF(I82:I106,"да")</f>
        <v>0</v>
      </c>
      <c r="J78" s="100"/>
      <c r="K78" s="100"/>
    </row>
    <row r="79" spans="1:11" s="39" customFormat="1" x14ac:dyDescent="0.25">
      <c r="A79" s="87"/>
      <c r="B79" s="87"/>
      <c r="C79" s="5" t="s">
        <v>16</v>
      </c>
      <c r="D79" s="53">
        <f t="shared" si="12"/>
        <v>502179.10000000003</v>
      </c>
      <c r="E79" s="31">
        <f>E84+E89+E94+E99+E104+E109</f>
        <v>74904.299999999988</v>
      </c>
      <c r="F79" s="31">
        <f>E79/D79*100</f>
        <v>14.915853726290079</v>
      </c>
      <c r="G79" s="100"/>
      <c r="H79" s="8" t="s">
        <v>20</v>
      </c>
      <c r="I79" s="2">
        <f>COUNTIF(I82:I106,"частично")</f>
        <v>4</v>
      </c>
      <c r="J79" s="100"/>
      <c r="K79" s="100"/>
    </row>
    <row r="80" spans="1:11" s="39" customFormat="1" x14ac:dyDescent="0.25">
      <c r="A80" s="87"/>
      <c r="B80" s="87"/>
      <c r="C80" s="5" t="s">
        <v>15</v>
      </c>
      <c r="D80" s="54">
        <v>0</v>
      </c>
      <c r="E80" s="31">
        <f t="shared" ref="E80:E81" si="13">E85+E90+E95+E100+E105</f>
        <v>0</v>
      </c>
      <c r="F80" s="31"/>
      <c r="G80" s="100"/>
      <c r="H80" s="8" t="s">
        <v>21</v>
      </c>
      <c r="I80" s="2">
        <f>COUNTIF(I82:I106,"нет")</f>
        <v>0</v>
      </c>
      <c r="J80" s="100"/>
      <c r="K80" s="100"/>
    </row>
    <row r="81" spans="1:11" s="39" customFormat="1" ht="64.150000000000006" customHeight="1" x14ac:dyDescent="0.25">
      <c r="A81" s="88"/>
      <c r="B81" s="88"/>
      <c r="C81" s="5" t="s">
        <v>17</v>
      </c>
      <c r="D81" s="55">
        <v>0</v>
      </c>
      <c r="E81" s="31">
        <f t="shared" si="13"/>
        <v>0</v>
      </c>
      <c r="F81" s="31"/>
      <c r="G81" s="101"/>
      <c r="H81" s="8" t="s">
        <v>22</v>
      </c>
      <c r="I81" s="3">
        <f>I78/I77*100</f>
        <v>0</v>
      </c>
      <c r="J81" s="101"/>
      <c r="K81" s="101"/>
    </row>
    <row r="82" spans="1:11" s="39" customFormat="1" ht="15" customHeight="1" x14ac:dyDescent="0.25">
      <c r="A82" s="80" t="s">
        <v>102</v>
      </c>
      <c r="B82" s="80" t="s">
        <v>108</v>
      </c>
      <c r="C82" s="37" t="s">
        <v>13</v>
      </c>
      <c r="D82" s="54">
        <f t="shared" ref="D82" si="14">D83+D84+D85+D86</f>
        <v>2468.9</v>
      </c>
      <c r="E82" s="38">
        <f>E83+E84</f>
        <v>1029.0999999999999</v>
      </c>
      <c r="F82" s="38">
        <f>E82/D82*100</f>
        <v>41.682530681680099</v>
      </c>
      <c r="G82" s="122" t="s">
        <v>290</v>
      </c>
      <c r="H82" s="122" t="s">
        <v>289</v>
      </c>
      <c r="I82" s="103" t="s">
        <v>246</v>
      </c>
      <c r="J82" s="110" t="s">
        <v>88</v>
      </c>
      <c r="K82" s="83"/>
    </row>
    <row r="83" spans="1:11" s="39" customFormat="1" x14ac:dyDescent="0.25">
      <c r="A83" s="81"/>
      <c r="B83" s="81"/>
      <c r="C83" s="37" t="s">
        <v>14</v>
      </c>
      <c r="D83" s="54">
        <v>0</v>
      </c>
      <c r="E83" s="38">
        <v>0</v>
      </c>
      <c r="F83" s="38"/>
      <c r="G83" s="123"/>
      <c r="H83" s="123"/>
      <c r="I83" s="104"/>
      <c r="J83" s="111"/>
      <c r="K83" s="84"/>
    </row>
    <row r="84" spans="1:11" s="39" customFormat="1" x14ac:dyDescent="0.25">
      <c r="A84" s="81"/>
      <c r="B84" s="81"/>
      <c r="C84" s="37" t="s">
        <v>16</v>
      </c>
      <c r="D84" s="54">
        <v>2468.9</v>
      </c>
      <c r="E84" s="40">
        <v>1029.0999999999999</v>
      </c>
      <c r="F84" s="38">
        <f>E84/D84*100</f>
        <v>41.682530681680099</v>
      </c>
      <c r="G84" s="123"/>
      <c r="H84" s="123"/>
      <c r="I84" s="104"/>
      <c r="J84" s="111"/>
      <c r="K84" s="84"/>
    </row>
    <row r="85" spans="1:11" s="39" customFormat="1" x14ac:dyDescent="0.25">
      <c r="A85" s="81"/>
      <c r="B85" s="81"/>
      <c r="C85" s="37" t="s">
        <v>15</v>
      </c>
      <c r="D85" s="54">
        <v>0</v>
      </c>
      <c r="E85" s="38">
        <v>0</v>
      </c>
      <c r="F85" s="38"/>
      <c r="G85" s="123"/>
      <c r="H85" s="123"/>
      <c r="I85" s="104"/>
      <c r="J85" s="111"/>
      <c r="K85" s="84"/>
    </row>
    <row r="86" spans="1:11" s="39" customFormat="1" ht="70.5" customHeight="1" x14ac:dyDescent="0.25">
      <c r="A86" s="82"/>
      <c r="B86" s="82"/>
      <c r="C86" s="37" t="s">
        <v>17</v>
      </c>
      <c r="D86" s="54">
        <v>0</v>
      </c>
      <c r="E86" s="38">
        <v>0</v>
      </c>
      <c r="F86" s="38"/>
      <c r="G86" s="124"/>
      <c r="H86" s="124"/>
      <c r="I86" s="105"/>
      <c r="J86" s="112"/>
      <c r="K86" s="85"/>
    </row>
    <row r="87" spans="1:11" s="39" customFormat="1" ht="15" customHeight="1" x14ac:dyDescent="0.25">
      <c r="A87" s="80" t="s">
        <v>103</v>
      </c>
      <c r="B87" s="80" t="s">
        <v>109</v>
      </c>
      <c r="C87" s="37" t="s">
        <v>13</v>
      </c>
      <c r="D87" s="54">
        <f t="shared" ref="D87" si="15">D88+D89+D90+D91</f>
        <v>16396.8</v>
      </c>
      <c r="E87" s="38">
        <f>E88+E89</f>
        <v>7811.6</v>
      </c>
      <c r="F87" s="38">
        <f>E87/D87*100</f>
        <v>47.641003122560505</v>
      </c>
      <c r="G87" s="122" t="s">
        <v>293</v>
      </c>
      <c r="H87" s="122" t="s">
        <v>294</v>
      </c>
      <c r="I87" s="103" t="s">
        <v>246</v>
      </c>
      <c r="J87" s="110" t="s">
        <v>88</v>
      </c>
      <c r="K87" s="83"/>
    </row>
    <row r="88" spans="1:11" s="39" customFormat="1" x14ac:dyDescent="0.25">
      <c r="A88" s="81"/>
      <c r="B88" s="81"/>
      <c r="C88" s="37" t="s">
        <v>14</v>
      </c>
      <c r="D88" s="54">
        <v>0</v>
      </c>
      <c r="E88" s="38">
        <v>0</v>
      </c>
      <c r="F88" s="38"/>
      <c r="G88" s="123"/>
      <c r="H88" s="123"/>
      <c r="I88" s="104"/>
      <c r="J88" s="111"/>
      <c r="K88" s="84"/>
    </row>
    <row r="89" spans="1:11" s="39" customFormat="1" x14ac:dyDescent="0.25">
      <c r="A89" s="81"/>
      <c r="B89" s="81"/>
      <c r="C89" s="37" t="s">
        <v>16</v>
      </c>
      <c r="D89" s="54">
        <v>16396.8</v>
      </c>
      <c r="E89" s="40">
        <v>7811.6</v>
      </c>
      <c r="F89" s="38">
        <f>E89/D89*100</f>
        <v>47.641003122560505</v>
      </c>
      <c r="G89" s="123"/>
      <c r="H89" s="123"/>
      <c r="I89" s="104"/>
      <c r="J89" s="111"/>
      <c r="K89" s="84"/>
    </row>
    <row r="90" spans="1:11" s="39" customFormat="1" x14ac:dyDescent="0.25">
      <c r="A90" s="81"/>
      <c r="B90" s="81"/>
      <c r="C90" s="37" t="s">
        <v>15</v>
      </c>
      <c r="D90" s="54">
        <v>0</v>
      </c>
      <c r="E90" s="38">
        <v>0</v>
      </c>
      <c r="F90" s="38"/>
      <c r="G90" s="123"/>
      <c r="H90" s="123"/>
      <c r="I90" s="104"/>
      <c r="J90" s="111"/>
      <c r="K90" s="84"/>
    </row>
    <row r="91" spans="1:11" s="39" customFormat="1" ht="53.25" customHeight="1" x14ac:dyDescent="0.25">
      <c r="A91" s="82"/>
      <c r="B91" s="82"/>
      <c r="C91" s="37" t="s">
        <v>17</v>
      </c>
      <c r="D91" s="54">
        <v>0</v>
      </c>
      <c r="E91" s="38">
        <v>0</v>
      </c>
      <c r="F91" s="38"/>
      <c r="G91" s="124"/>
      <c r="H91" s="124"/>
      <c r="I91" s="105"/>
      <c r="J91" s="112"/>
      <c r="K91" s="85"/>
    </row>
    <row r="92" spans="1:11" s="39" customFormat="1" ht="15" customHeight="1" x14ac:dyDescent="0.25">
      <c r="A92" s="125" t="s">
        <v>104</v>
      </c>
      <c r="B92" s="80" t="s">
        <v>110</v>
      </c>
      <c r="C92" s="37" t="s">
        <v>13</v>
      </c>
      <c r="D92" s="53">
        <f t="shared" ref="D92" si="16">D93+D94+D95+D96</f>
        <v>480263.5</v>
      </c>
      <c r="E92" s="38">
        <f>E93+E94</f>
        <v>64183</v>
      </c>
      <c r="F92" s="38">
        <f>E92/D92*100</f>
        <v>13.364121987200775</v>
      </c>
      <c r="G92" s="122" t="s">
        <v>296</v>
      </c>
      <c r="H92" s="122" t="s">
        <v>295</v>
      </c>
      <c r="I92" s="103" t="s">
        <v>246</v>
      </c>
      <c r="J92" s="106" t="s">
        <v>89</v>
      </c>
      <c r="K92" s="83" t="s">
        <v>274</v>
      </c>
    </row>
    <row r="93" spans="1:11" s="39" customFormat="1" x14ac:dyDescent="0.25">
      <c r="A93" s="126"/>
      <c r="B93" s="81"/>
      <c r="C93" s="37" t="s">
        <v>14</v>
      </c>
      <c r="D93" s="54">
        <v>0</v>
      </c>
      <c r="E93" s="38">
        <v>0</v>
      </c>
      <c r="F93" s="38"/>
      <c r="G93" s="123"/>
      <c r="H93" s="128"/>
      <c r="I93" s="104"/>
      <c r="J93" s="107"/>
      <c r="K93" s="84"/>
    </row>
    <row r="94" spans="1:11" s="39" customFormat="1" x14ac:dyDescent="0.25">
      <c r="A94" s="126"/>
      <c r="B94" s="81"/>
      <c r="C94" s="37" t="s">
        <v>16</v>
      </c>
      <c r="D94" s="53">
        <v>480263.5</v>
      </c>
      <c r="E94" s="40">
        <v>64183</v>
      </c>
      <c r="F94" s="38">
        <f>E94/D94*100</f>
        <v>13.364121987200775</v>
      </c>
      <c r="G94" s="123"/>
      <c r="H94" s="128"/>
      <c r="I94" s="104"/>
      <c r="J94" s="107"/>
      <c r="K94" s="84"/>
    </row>
    <row r="95" spans="1:11" s="39" customFormat="1" x14ac:dyDescent="0.25">
      <c r="A95" s="126"/>
      <c r="B95" s="81"/>
      <c r="C95" s="37" t="s">
        <v>15</v>
      </c>
      <c r="D95" s="54">
        <v>0</v>
      </c>
      <c r="E95" s="38">
        <v>0</v>
      </c>
      <c r="F95" s="38"/>
      <c r="G95" s="123"/>
      <c r="H95" s="128"/>
      <c r="I95" s="104"/>
      <c r="J95" s="107"/>
      <c r="K95" s="84"/>
    </row>
    <row r="96" spans="1:11" s="39" customFormat="1" ht="120.75" customHeight="1" x14ac:dyDescent="0.25">
      <c r="A96" s="127"/>
      <c r="B96" s="82"/>
      <c r="C96" s="37" t="s">
        <v>17</v>
      </c>
      <c r="D96" s="55">
        <v>0</v>
      </c>
      <c r="E96" s="38">
        <v>0</v>
      </c>
      <c r="F96" s="38"/>
      <c r="G96" s="124"/>
      <c r="H96" s="129"/>
      <c r="I96" s="105"/>
      <c r="J96" s="108"/>
      <c r="K96" s="85"/>
    </row>
    <row r="97" spans="1:11" s="39" customFormat="1" ht="15" customHeight="1" x14ac:dyDescent="0.25">
      <c r="A97" s="80" t="s">
        <v>105</v>
      </c>
      <c r="B97" s="80" t="s">
        <v>111</v>
      </c>
      <c r="C97" s="37" t="s">
        <v>13</v>
      </c>
      <c r="D97" s="54">
        <f t="shared" ref="D97" si="17">D98</f>
        <v>4950.1000000000004</v>
      </c>
      <c r="E97" s="38">
        <f>E98+E99</f>
        <v>4.2</v>
      </c>
      <c r="F97" s="38">
        <f>E97/D97*100</f>
        <v>8.4846770772307636E-2</v>
      </c>
      <c r="G97" s="144" t="s">
        <v>297</v>
      </c>
      <c r="H97" s="144" t="s">
        <v>247</v>
      </c>
      <c r="I97" s="103" t="s">
        <v>246</v>
      </c>
      <c r="J97" s="106" t="s">
        <v>90</v>
      </c>
      <c r="K97" s="83" t="s">
        <v>275</v>
      </c>
    </row>
    <row r="98" spans="1:11" s="39" customFormat="1" x14ac:dyDescent="0.25">
      <c r="A98" s="81"/>
      <c r="B98" s="81"/>
      <c r="C98" s="37" t="s">
        <v>14</v>
      </c>
      <c r="D98" s="54">
        <v>4950.1000000000004</v>
      </c>
      <c r="E98" s="40">
        <v>4.2</v>
      </c>
      <c r="F98" s="38">
        <f>E98/D98*100</f>
        <v>8.4846770772307636E-2</v>
      </c>
      <c r="G98" s="145"/>
      <c r="H98" s="145"/>
      <c r="I98" s="104"/>
      <c r="J98" s="107"/>
      <c r="K98" s="84"/>
    </row>
    <row r="99" spans="1:11" s="39" customFormat="1" x14ac:dyDescent="0.25">
      <c r="A99" s="81"/>
      <c r="B99" s="81"/>
      <c r="C99" s="37" t="s">
        <v>16</v>
      </c>
      <c r="D99" s="54">
        <v>0</v>
      </c>
      <c r="E99" s="38">
        <v>0</v>
      </c>
      <c r="F99" s="38"/>
      <c r="G99" s="145"/>
      <c r="H99" s="145"/>
      <c r="I99" s="104"/>
      <c r="J99" s="107"/>
      <c r="K99" s="84"/>
    </row>
    <row r="100" spans="1:11" s="39" customFormat="1" x14ac:dyDescent="0.25">
      <c r="A100" s="81"/>
      <c r="B100" s="81"/>
      <c r="C100" s="37" t="s">
        <v>15</v>
      </c>
      <c r="D100" s="54">
        <v>0</v>
      </c>
      <c r="E100" s="38">
        <v>0</v>
      </c>
      <c r="F100" s="38"/>
      <c r="G100" s="145"/>
      <c r="H100" s="145"/>
      <c r="I100" s="104"/>
      <c r="J100" s="107"/>
      <c r="K100" s="84"/>
    </row>
    <row r="101" spans="1:11" s="39" customFormat="1" x14ac:dyDescent="0.25">
      <c r="A101" s="82"/>
      <c r="B101" s="82"/>
      <c r="C101" s="37" t="s">
        <v>17</v>
      </c>
      <c r="D101" s="54">
        <v>0</v>
      </c>
      <c r="E101" s="38">
        <v>0</v>
      </c>
      <c r="F101" s="38"/>
      <c r="G101" s="145"/>
      <c r="H101" s="145"/>
      <c r="I101" s="105"/>
      <c r="J101" s="108"/>
      <c r="K101" s="84"/>
    </row>
    <row r="102" spans="1:11" s="39" customFormat="1" ht="15" customHeight="1" x14ac:dyDescent="0.25">
      <c r="A102" s="80" t="s">
        <v>106</v>
      </c>
      <c r="B102" s="80" t="s">
        <v>112</v>
      </c>
      <c r="C102" s="37" t="s">
        <v>13</v>
      </c>
      <c r="D102" s="54">
        <v>3049.9</v>
      </c>
      <c r="E102" s="38">
        <f>E103+E104</f>
        <v>1825.2</v>
      </c>
      <c r="F102" s="38">
        <f>E102/D102*100</f>
        <v>59.844585068362896</v>
      </c>
      <c r="G102" s="145"/>
      <c r="H102" s="145"/>
      <c r="I102" s="103"/>
      <c r="J102" s="106" t="s">
        <v>90</v>
      </c>
      <c r="K102" s="94"/>
    </row>
    <row r="103" spans="1:11" s="39" customFormat="1" x14ac:dyDescent="0.25">
      <c r="A103" s="81"/>
      <c r="B103" s="81"/>
      <c r="C103" s="37" t="s">
        <v>14</v>
      </c>
      <c r="D103" s="54">
        <v>0</v>
      </c>
      <c r="E103" s="38">
        <v>0</v>
      </c>
      <c r="F103" s="38"/>
      <c r="G103" s="145"/>
      <c r="H103" s="145"/>
      <c r="I103" s="104"/>
      <c r="J103" s="107"/>
      <c r="K103" s="94"/>
    </row>
    <row r="104" spans="1:11" s="39" customFormat="1" x14ac:dyDescent="0.25">
      <c r="A104" s="81"/>
      <c r="B104" s="81"/>
      <c r="C104" s="37" t="s">
        <v>16</v>
      </c>
      <c r="D104" s="54">
        <v>3049.9</v>
      </c>
      <c r="E104" s="40">
        <f>1825.2</f>
        <v>1825.2</v>
      </c>
      <c r="F104" s="38">
        <f>E104/D104*100</f>
        <v>59.844585068362896</v>
      </c>
      <c r="G104" s="145"/>
      <c r="H104" s="145"/>
      <c r="I104" s="104"/>
      <c r="J104" s="107"/>
      <c r="K104" s="94"/>
    </row>
    <row r="105" spans="1:11" s="39" customFormat="1" x14ac:dyDescent="0.25">
      <c r="A105" s="81"/>
      <c r="B105" s="81"/>
      <c r="C105" s="37" t="s">
        <v>15</v>
      </c>
      <c r="D105" s="54">
        <v>0</v>
      </c>
      <c r="E105" s="38">
        <v>0</v>
      </c>
      <c r="F105" s="38"/>
      <c r="G105" s="145"/>
      <c r="H105" s="145"/>
      <c r="I105" s="104"/>
      <c r="J105" s="107"/>
      <c r="K105" s="94"/>
    </row>
    <row r="106" spans="1:11" s="39" customFormat="1" ht="127.5" customHeight="1" x14ac:dyDescent="0.25">
      <c r="A106" s="82"/>
      <c r="B106" s="82"/>
      <c r="C106" s="37" t="s">
        <v>17</v>
      </c>
      <c r="D106" s="57">
        <v>0</v>
      </c>
      <c r="E106" s="38">
        <v>0</v>
      </c>
      <c r="F106" s="38"/>
      <c r="G106" s="145"/>
      <c r="H106" s="145"/>
      <c r="I106" s="105"/>
      <c r="J106" s="107"/>
      <c r="K106" s="95"/>
    </row>
    <row r="107" spans="1:11" s="39" customFormat="1" x14ac:dyDescent="0.25">
      <c r="A107" s="72"/>
      <c r="B107" s="80" t="s">
        <v>249</v>
      </c>
      <c r="C107" s="37" t="s">
        <v>250</v>
      </c>
      <c r="D107" s="64">
        <v>0</v>
      </c>
      <c r="E107" s="38">
        <v>55.4</v>
      </c>
      <c r="F107" s="38" t="e">
        <v>#DIV/0!</v>
      </c>
      <c r="G107" s="94"/>
      <c r="H107" s="94"/>
      <c r="I107" s="76"/>
      <c r="J107" s="74"/>
      <c r="K107" s="71"/>
    </row>
    <row r="108" spans="1:11" s="39" customFormat="1" x14ac:dyDescent="0.25">
      <c r="A108" s="72"/>
      <c r="B108" s="142"/>
      <c r="C108" s="37" t="s">
        <v>14</v>
      </c>
      <c r="D108" s="64">
        <v>0</v>
      </c>
      <c r="E108" s="38">
        <v>0</v>
      </c>
      <c r="F108" s="38"/>
      <c r="G108" s="94"/>
      <c r="H108" s="94"/>
      <c r="I108" s="77"/>
      <c r="J108" s="74"/>
      <c r="K108" s="71"/>
    </row>
    <row r="109" spans="1:11" s="39" customFormat="1" x14ac:dyDescent="0.25">
      <c r="A109" s="72"/>
      <c r="B109" s="142"/>
      <c r="C109" s="37" t="s">
        <v>16</v>
      </c>
      <c r="D109" s="64">
        <v>0</v>
      </c>
      <c r="E109" s="73">
        <v>55.4</v>
      </c>
      <c r="F109" s="38" t="e">
        <v>#DIV/0!</v>
      </c>
      <c r="G109" s="94"/>
      <c r="H109" s="94"/>
      <c r="I109" s="77"/>
      <c r="J109" s="74"/>
      <c r="K109" s="71"/>
    </row>
    <row r="110" spans="1:11" s="39" customFormat="1" x14ac:dyDescent="0.25">
      <c r="A110" s="72"/>
      <c r="B110" s="142"/>
      <c r="C110" s="37" t="s">
        <v>15</v>
      </c>
      <c r="D110" s="64">
        <v>0</v>
      </c>
      <c r="E110" s="38">
        <v>0</v>
      </c>
      <c r="F110" s="38"/>
      <c r="G110" s="94"/>
      <c r="H110" s="94"/>
      <c r="I110" s="77"/>
      <c r="J110" s="74"/>
      <c r="K110" s="71"/>
    </row>
    <row r="111" spans="1:11" s="39" customFormat="1" ht="171" customHeight="1" x14ac:dyDescent="0.25">
      <c r="A111" s="72"/>
      <c r="B111" s="143"/>
      <c r="C111" s="37" t="s">
        <v>17</v>
      </c>
      <c r="D111" s="64">
        <v>0</v>
      </c>
      <c r="E111" s="38">
        <v>0</v>
      </c>
      <c r="F111" s="38"/>
      <c r="G111" s="95"/>
      <c r="H111" s="95"/>
      <c r="I111" s="78"/>
      <c r="J111" s="75"/>
      <c r="K111" s="71"/>
    </row>
    <row r="112" spans="1:11" s="12" customFormat="1" ht="15" customHeight="1" x14ac:dyDescent="0.2">
      <c r="A112" s="90" t="s">
        <v>28</v>
      </c>
      <c r="B112" s="90" t="s">
        <v>118</v>
      </c>
      <c r="C112" s="4" t="s">
        <v>13</v>
      </c>
      <c r="D112" s="52">
        <f t="shared" ref="D112" si="18">SUM(D113:D116)</f>
        <v>75243</v>
      </c>
      <c r="E112" s="24">
        <f>E113+E114+E115+E116</f>
        <v>39379.600000000006</v>
      </c>
      <c r="F112" s="24">
        <f>E112/D112*100</f>
        <v>52.336562869635713</v>
      </c>
      <c r="G112" s="113"/>
      <c r="H112" s="9" t="s">
        <v>18</v>
      </c>
      <c r="I112" s="23">
        <f>I117+I142+I162+I187+I197+I207+I217</f>
        <v>15</v>
      </c>
      <c r="J112" s="113" t="s">
        <v>164</v>
      </c>
      <c r="K112" s="113"/>
    </row>
    <row r="113" spans="1:11" s="12" customFormat="1" x14ac:dyDescent="0.2">
      <c r="A113" s="91"/>
      <c r="B113" s="91"/>
      <c r="C113" s="4" t="s">
        <v>14</v>
      </c>
      <c r="D113" s="53">
        <f>D118+D143+D163+D208+D198+D218+D188</f>
        <v>53463.4</v>
      </c>
      <c r="E113" s="24">
        <f>E118+E143+E163+E188+E198+E208+E218</f>
        <v>29881.300000000003</v>
      </c>
      <c r="F113" s="24">
        <f>E113/D113*100</f>
        <v>55.891132999397719</v>
      </c>
      <c r="G113" s="114"/>
      <c r="H113" s="9" t="s">
        <v>19</v>
      </c>
      <c r="I113" s="23">
        <f>I118+I143+I163+I188+I198+I208+I218</f>
        <v>1</v>
      </c>
      <c r="J113" s="114"/>
      <c r="K113" s="114"/>
    </row>
    <row r="114" spans="1:11" s="12" customFormat="1" x14ac:dyDescent="0.2">
      <c r="A114" s="91"/>
      <c r="B114" s="91"/>
      <c r="C114" s="4" t="s">
        <v>16</v>
      </c>
      <c r="D114" s="53">
        <f>D119+D144+D164+D209+D199+D219+D189</f>
        <v>21779.599999999999</v>
      </c>
      <c r="E114" s="79">
        <f>E119+E144+E164+E189+E199+E209+E219</f>
        <v>9498.3000000000011</v>
      </c>
      <c r="F114" s="24">
        <f>E114/D114*100</f>
        <v>43.610993773990344</v>
      </c>
      <c r="G114" s="114"/>
      <c r="H114" s="9" t="s">
        <v>20</v>
      </c>
      <c r="I114" s="23">
        <f>I119+I144+I164+I189+I199+I209+I219</f>
        <v>13</v>
      </c>
      <c r="J114" s="114"/>
      <c r="K114" s="114"/>
    </row>
    <row r="115" spans="1:11" s="12" customFormat="1" x14ac:dyDescent="0.2">
      <c r="A115" s="91"/>
      <c r="B115" s="91"/>
      <c r="C115" s="4" t="s">
        <v>15</v>
      </c>
      <c r="D115" s="57">
        <f>D120+D145+D165+D210+D200</f>
        <v>0</v>
      </c>
      <c r="E115" s="24">
        <f>E120+E145+E165+E190+E200+E210+E220</f>
        <v>0</v>
      </c>
      <c r="F115" s="24"/>
      <c r="G115" s="114"/>
      <c r="H115" s="9" t="s">
        <v>21</v>
      </c>
      <c r="I115" s="23">
        <f>I120+I145+I165+I190+I200+I210+I220</f>
        <v>1</v>
      </c>
      <c r="J115" s="114"/>
      <c r="K115" s="114"/>
    </row>
    <row r="116" spans="1:11" s="12" customFormat="1" ht="63" customHeight="1" x14ac:dyDescent="0.2">
      <c r="A116" s="92"/>
      <c r="B116" s="92"/>
      <c r="C116" s="4" t="s">
        <v>17</v>
      </c>
      <c r="D116" s="57">
        <f>D121+D146+D166+D211+D201</f>
        <v>0</v>
      </c>
      <c r="E116" s="24">
        <f>E121+E146+E166+E191+E201+E211+E221</f>
        <v>0</v>
      </c>
      <c r="F116" s="24"/>
      <c r="G116" s="115"/>
      <c r="H116" s="9" t="s">
        <v>22</v>
      </c>
      <c r="I116" s="7">
        <f>I113/I112*100</f>
        <v>6.666666666666667</v>
      </c>
      <c r="J116" s="115"/>
      <c r="K116" s="115"/>
    </row>
    <row r="117" spans="1:11" ht="13.9" customHeight="1" x14ac:dyDescent="0.25">
      <c r="A117" s="86" t="s">
        <v>31</v>
      </c>
      <c r="B117" s="86" t="s">
        <v>233</v>
      </c>
      <c r="C117" s="5" t="s">
        <v>13</v>
      </c>
      <c r="D117" s="58">
        <f t="shared" ref="D117:D119" si="19">D122+D127+D137+D132</f>
        <v>46505.9</v>
      </c>
      <c r="E117" s="31">
        <f>E118+E119+E120+E121</f>
        <v>26685</v>
      </c>
      <c r="F117" s="31">
        <f>E117/D117*100</f>
        <v>57.37981632438035</v>
      </c>
      <c r="G117" s="89"/>
      <c r="H117" s="8" t="s">
        <v>18</v>
      </c>
      <c r="I117" s="2">
        <f>COUNTA(I122:I141)</f>
        <v>4</v>
      </c>
      <c r="J117" s="106" t="s">
        <v>119</v>
      </c>
      <c r="K117" s="89"/>
    </row>
    <row r="118" spans="1:11" x14ac:dyDescent="0.25">
      <c r="A118" s="87"/>
      <c r="B118" s="87"/>
      <c r="C118" s="5" t="s">
        <v>14</v>
      </c>
      <c r="D118" s="58">
        <f t="shared" si="19"/>
        <v>46505.9</v>
      </c>
      <c r="E118" s="31">
        <f>E123+E128+E133+E138</f>
        <v>26685</v>
      </c>
      <c r="F118" s="31">
        <f>E118/D118*100</f>
        <v>57.37981632438035</v>
      </c>
      <c r="G118" s="89"/>
      <c r="H118" s="8" t="s">
        <v>19</v>
      </c>
      <c r="I118" s="2">
        <f>COUNTIF(I122:I141,"да")</f>
        <v>0</v>
      </c>
      <c r="J118" s="107"/>
      <c r="K118" s="89"/>
    </row>
    <row r="119" spans="1:11" x14ac:dyDescent="0.25">
      <c r="A119" s="87"/>
      <c r="B119" s="87"/>
      <c r="C119" s="5" t="s">
        <v>16</v>
      </c>
      <c r="D119" s="57">
        <f t="shared" si="19"/>
        <v>0</v>
      </c>
      <c r="E119" s="31">
        <f t="shared" ref="E119:E121" si="20">E124+E129+E134+E139</f>
        <v>0</v>
      </c>
      <c r="F119" s="31"/>
      <c r="G119" s="89"/>
      <c r="H119" s="8" t="s">
        <v>20</v>
      </c>
      <c r="I119" s="2">
        <f>COUNTIF(I122:J141,"частично")</f>
        <v>4</v>
      </c>
      <c r="J119" s="107"/>
      <c r="K119" s="89"/>
    </row>
    <row r="120" spans="1:11" x14ac:dyDescent="0.25">
      <c r="A120" s="87"/>
      <c r="B120" s="87"/>
      <c r="C120" s="5" t="s">
        <v>15</v>
      </c>
      <c r="D120" s="57">
        <v>0</v>
      </c>
      <c r="E120" s="31">
        <f t="shared" si="20"/>
        <v>0</v>
      </c>
      <c r="F120" s="31"/>
      <c r="G120" s="89"/>
      <c r="H120" s="8" t="s">
        <v>21</v>
      </c>
      <c r="I120" s="2">
        <f>COUNTIF(I122:I141,"нет")</f>
        <v>0</v>
      </c>
      <c r="J120" s="107"/>
      <c r="K120" s="89"/>
    </row>
    <row r="121" spans="1:11" x14ac:dyDescent="0.25">
      <c r="A121" s="88"/>
      <c r="B121" s="88"/>
      <c r="C121" s="5" t="s">
        <v>17</v>
      </c>
      <c r="D121" s="55">
        <v>0</v>
      </c>
      <c r="E121" s="31">
        <f t="shared" si="20"/>
        <v>0</v>
      </c>
      <c r="F121" s="31"/>
      <c r="G121" s="89"/>
      <c r="H121" s="8" t="s">
        <v>22</v>
      </c>
      <c r="I121" s="3">
        <f>I118/I117*100</f>
        <v>0</v>
      </c>
      <c r="J121" s="108"/>
      <c r="K121" s="89"/>
    </row>
    <row r="122" spans="1:11" ht="15" customHeight="1" x14ac:dyDescent="0.25">
      <c r="A122" s="80" t="s">
        <v>29</v>
      </c>
      <c r="B122" s="80" t="s">
        <v>72</v>
      </c>
      <c r="C122" s="37" t="s">
        <v>13</v>
      </c>
      <c r="D122" s="59">
        <f t="shared" ref="D122" si="21">SUM(D123:D126)</f>
        <v>3060.9</v>
      </c>
      <c r="E122" s="38">
        <f>E123+E124+E125+E126</f>
        <v>1685.3</v>
      </c>
      <c r="F122" s="38">
        <f>E122/D122*100</f>
        <v>55.058969584109242</v>
      </c>
      <c r="G122" s="96" t="s">
        <v>298</v>
      </c>
      <c r="H122" s="96" t="s">
        <v>271</v>
      </c>
      <c r="I122" s="103" t="s">
        <v>246</v>
      </c>
      <c r="J122" s="106" t="s">
        <v>24</v>
      </c>
      <c r="K122" s="83"/>
    </row>
    <row r="123" spans="1:11" x14ac:dyDescent="0.25">
      <c r="A123" s="81"/>
      <c r="B123" s="81"/>
      <c r="C123" s="37" t="s">
        <v>14</v>
      </c>
      <c r="D123" s="59">
        <v>3060.9</v>
      </c>
      <c r="E123" s="40">
        <v>1685.3</v>
      </c>
      <c r="F123" s="38">
        <f>E123/D123*100</f>
        <v>55.058969584109242</v>
      </c>
      <c r="G123" s="97"/>
      <c r="H123" s="97"/>
      <c r="I123" s="104"/>
      <c r="J123" s="107"/>
      <c r="K123" s="84"/>
    </row>
    <row r="124" spans="1:11" x14ac:dyDescent="0.25">
      <c r="A124" s="81"/>
      <c r="B124" s="81"/>
      <c r="C124" s="37" t="s">
        <v>16</v>
      </c>
      <c r="D124" s="55">
        <v>0</v>
      </c>
      <c r="E124" s="38">
        <v>0</v>
      </c>
      <c r="F124" s="38"/>
      <c r="G124" s="97"/>
      <c r="H124" s="97"/>
      <c r="I124" s="104"/>
      <c r="J124" s="107"/>
      <c r="K124" s="84"/>
    </row>
    <row r="125" spans="1:11" x14ac:dyDescent="0.25">
      <c r="A125" s="81"/>
      <c r="B125" s="81"/>
      <c r="C125" s="37" t="s">
        <v>15</v>
      </c>
      <c r="D125" s="57">
        <v>0</v>
      </c>
      <c r="E125" s="38">
        <v>0</v>
      </c>
      <c r="F125" s="38"/>
      <c r="G125" s="97"/>
      <c r="H125" s="97"/>
      <c r="I125" s="104"/>
      <c r="J125" s="107"/>
      <c r="K125" s="84"/>
    </row>
    <row r="126" spans="1:11" ht="22.5" customHeight="1" x14ac:dyDescent="0.25">
      <c r="A126" s="82"/>
      <c r="B126" s="82"/>
      <c r="C126" s="37" t="s">
        <v>17</v>
      </c>
      <c r="D126" s="57">
        <v>0</v>
      </c>
      <c r="E126" s="38">
        <v>0</v>
      </c>
      <c r="F126" s="38"/>
      <c r="G126" s="98"/>
      <c r="H126" s="98"/>
      <c r="I126" s="105"/>
      <c r="J126" s="108"/>
      <c r="K126" s="85"/>
    </row>
    <row r="127" spans="1:11" ht="15" customHeight="1" x14ac:dyDescent="0.25">
      <c r="A127" s="80" t="s">
        <v>30</v>
      </c>
      <c r="B127" s="80" t="s">
        <v>113</v>
      </c>
      <c r="C127" s="37" t="s">
        <v>13</v>
      </c>
      <c r="D127" s="59">
        <f t="shared" ref="D127" si="22">SUM(D128:D131)</f>
        <v>345</v>
      </c>
      <c r="E127" s="38">
        <f>E128+E129+E130+E131</f>
        <v>149.30000000000001</v>
      </c>
      <c r="F127" s="38">
        <f>E127/D127*100</f>
        <v>43.275362318840585</v>
      </c>
      <c r="G127" s="96" t="s">
        <v>277</v>
      </c>
      <c r="H127" s="119" t="s">
        <v>276</v>
      </c>
      <c r="I127" s="103" t="s">
        <v>246</v>
      </c>
      <c r="J127" s="106" t="s">
        <v>24</v>
      </c>
      <c r="K127" s="83"/>
    </row>
    <row r="128" spans="1:11" x14ac:dyDescent="0.25">
      <c r="A128" s="81"/>
      <c r="B128" s="81"/>
      <c r="C128" s="37" t="s">
        <v>14</v>
      </c>
      <c r="D128" s="53">
        <v>345</v>
      </c>
      <c r="E128" s="40">
        <v>149.30000000000001</v>
      </c>
      <c r="F128" s="38">
        <f>E128/D128*100</f>
        <v>43.275362318840585</v>
      </c>
      <c r="G128" s="97"/>
      <c r="H128" s="120"/>
      <c r="I128" s="104"/>
      <c r="J128" s="107"/>
      <c r="K128" s="84"/>
    </row>
    <row r="129" spans="1:11" x14ac:dyDescent="0.25">
      <c r="A129" s="81"/>
      <c r="B129" s="81"/>
      <c r="C129" s="37" t="s">
        <v>16</v>
      </c>
      <c r="D129" s="55">
        <v>0</v>
      </c>
      <c r="E129" s="38">
        <v>0</v>
      </c>
      <c r="F129" s="38"/>
      <c r="G129" s="97"/>
      <c r="H129" s="120"/>
      <c r="I129" s="104"/>
      <c r="J129" s="107"/>
      <c r="K129" s="84"/>
    </row>
    <row r="130" spans="1:11" x14ac:dyDescent="0.25">
      <c r="A130" s="81"/>
      <c r="B130" s="81"/>
      <c r="C130" s="37" t="s">
        <v>15</v>
      </c>
      <c r="D130" s="57">
        <v>0</v>
      </c>
      <c r="E130" s="38">
        <v>0</v>
      </c>
      <c r="F130" s="38"/>
      <c r="G130" s="97"/>
      <c r="H130" s="120"/>
      <c r="I130" s="104"/>
      <c r="J130" s="107"/>
      <c r="K130" s="84"/>
    </row>
    <row r="131" spans="1:11" ht="69" customHeight="1" x14ac:dyDescent="0.25">
      <c r="A131" s="82"/>
      <c r="B131" s="82"/>
      <c r="C131" s="37" t="s">
        <v>17</v>
      </c>
      <c r="D131" s="57">
        <v>0</v>
      </c>
      <c r="E131" s="38">
        <v>0</v>
      </c>
      <c r="F131" s="38"/>
      <c r="G131" s="98"/>
      <c r="H131" s="121"/>
      <c r="I131" s="105"/>
      <c r="J131" s="108"/>
      <c r="K131" s="85"/>
    </row>
    <row r="132" spans="1:11" s="39" customFormat="1" ht="15" customHeight="1" x14ac:dyDescent="0.25">
      <c r="A132" s="80" t="s">
        <v>116</v>
      </c>
      <c r="B132" s="80" t="s">
        <v>114</v>
      </c>
      <c r="C132" s="37" t="s">
        <v>13</v>
      </c>
      <c r="D132" s="55">
        <f>D133+D134</f>
        <v>500</v>
      </c>
      <c r="E132" s="38">
        <f>E133+E134+E135+E136</f>
        <v>66.5</v>
      </c>
      <c r="F132" s="38">
        <f>E132/D132*100</f>
        <v>13.3</v>
      </c>
      <c r="G132" s="96" t="s">
        <v>255</v>
      </c>
      <c r="H132" s="96" t="s">
        <v>270</v>
      </c>
      <c r="I132" s="103" t="s">
        <v>246</v>
      </c>
      <c r="J132" s="110" t="s">
        <v>90</v>
      </c>
      <c r="K132" s="83" t="s">
        <v>303</v>
      </c>
    </row>
    <row r="133" spans="1:11" s="39" customFormat="1" x14ac:dyDescent="0.25">
      <c r="A133" s="81"/>
      <c r="B133" s="81"/>
      <c r="C133" s="37" t="s">
        <v>14</v>
      </c>
      <c r="D133" s="55">
        <v>500</v>
      </c>
      <c r="E133" s="40">
        <v>66.5</v>
      </c>
      <c r="F133" s="38">
        <f>E133/D133*100</f>
        <v>13.3</v>
      </c>
      <c r="G133" s="97"/>
      <c r="H133" s="97"/>
      <c r="I133" s="104"/>
      <c r="J133" s="111"/>
      <c r="K133" s="84"/>
    </row>
    <row r="134" spans="1:11" s="39" customFormat="1" x14ac:dyDescent="0.25">
      <c r="A134" s="81"/>
      <c r="B134" s="81"/>
      <c r="C134" s="37" t="s">
        <v>16</v>
      </c>
      <c r="D134" s="57">
        <v>0</v>
      </c>
      <c r="E134" s="38">
        <v>0</v>
      </c>
      <c r="F134" s="38"/>
      <c r="G134" s="97"/>
      <c r="H134" s="97"/>
      <c r="I134" s="104"/>
      <c r="J134" s="111"/>
      <c r="K134" s="84"/>
    </row>
    <row r="135" spans="1:11" s="39" customFormat="1" x14ac:dyDescent="0.25">
      <c r="A135" s="81"/>
      <c r="B135" s="81"/>
      <c r="C135" s="37" t="s">
        <v>15</v>
      </c>
      <c r="D135" s="57">
        <v>0</v>
      </c>
      <c r="E135" s="38">
        <v>0</v>
      </c>
      <c r="F135" s="38"/>
      <c r="G135" s="97"/>
      <c r="H135" s="97"/>
      <c r="I135" s="104"/>
      <c r="J135" s="111"/>
      <c r="K135" s="84"/>
    </row>
    <row r="136" spans="1:11" s="39" customFormat="1" ht="146.25" customHeight="1" x14ac:dyDescent="0.25">
      <c r="A136" s="82"/>
      <c r="B136" s="82"/>
      <c r="C136" s="37" t="s">
        <v>17</v>
      </c>
      <c r="D136" s="57">
        <v>0</v>
      </c>
      <c r="E136" s="38">
        <v>0</v>
      </c>
      <c r="F136" s="38"/>
      <c r="G136" s="98"/>
      <c r="H136" s="98"/>
      <c r="I136" s="105"/>
      <c r="J136" s="112"/>
      <c r="K136" s="85"/>
    </row>
    <row r="137" spans="1:11" s="39" customFormat="1" ht="15" customHeight="1" x14ac:dyDescent="0.25">
      <c r="A137" s="80" t="s">
        <v>117</v>
      </c>
      <c r="B137" s="80" t="s">
        <v>115</v>
      </c>
      <c r="C137" s="37" t="s">
        <v>13</v>
      </c>
      <c r="D137" s="59">
        <f t="shared" ref="D137" si="23">SUM(D138:D141)</f>
        <v>42600</v>
      </c>
      <c r="E137" s="38">
        <f>E138+E139+E140+E141</f>
        <v>24783.9</v>
      </c>
      <c r="F137" s="38">
        <f>E137/D137*100</f>
        <v>58.17816901408451</v>
      </c>
      <c r="G137" s="96" t="s">
        <v>262</v>
      </c>
      <c r="H137" s="96" t="s">
        <v>278</v>
      </c>
      <c r="I137" s="103" t="s">
        <v>246</v>
      </c>
      <c r="J137" s="106" t="s">
        <v>24</v>
      </c>
      <c r="K137" s="83"/>
    </row>
    <row r="138" spans="1:11" s="39" customFormat="1" x14ac:dyDescent="0.25">
      <c r="A138" s="81"/>
      <c r="B138" s="81"/>
      <c r="C138" s="37" t="s">
        <v>14</v>
      </c>
      <c r="D138" s="53">
        <v>42600</v>
      </c>
      <c r="E138" s="40">
        <v>24783.9</v>
      </c>
      <c r="F138" s="38">
        <f>E138/D138*100</f>
        <v>58.17816901408451</v>
      </c>
      <c r="G138" s="97"/>
      <c r="H138" s="97"/>
      <c r="I138" s="104"/>
      <c r="J138" s="107"/>
      <c r="K138" s="84"/>
    </row>
    <row r="139" spans="1:11" s="39" customFormat="1" x14ac:dyDescent="0.25">
      <c r="A139" s="81"/>
      <c r="B139" s="81"/>
      <c r="C139" s="37" t="s">
        <v>16</v>
      </c>
      <c r="D139" s="55">
        <v>0</v>
      </c>
      <c r="E139" s="38">
        <v>0</v>
      </c>
      <c r="F139" s="38"/>
      <c r="G139" s="97"/>
      <c r="H139" s="97"/>
      <c r="I139" s="104"/>
      <c r="J139" s="107"/>
      <c r="K139" s="84"/>
    </row>
    <row r="140" spans="1:11" s="39" customFormat="1" x14ac:dyDescent="0.25">
      <c r="A140" s="81"/>
      <c r="B140" s="81"/>
      <c r="C140" s="37" t="s">
        <v>15</v>
      </c>
      <c r="D140" s="57">
        <v>0</v>
      </c>
      <c r="E140" s="38">
        <v>0</v>
      </c>
      <c r="F140" s="38"/>
      <c r="G140" s="97"/>
      <c r="H140" s="97"/>
      <c r="I140" s="104"/>
      <c r="J140" s="107"/>
      <c r="K140" s="84"/>
    </row>
    <row r="141" spans="1:11" s="39" customFormat="1" ht="72" customHeight="1" x14ac:dyDescent="0.25">
      <c r="A141" s="82"/>
      <c r="B141" s="82"/>
      <c r="C141" s="37" t="s">
        <v>17</v>
      </c>
      <c r="D141" s="57">
        <v>0</v>
      </c>
      <c r="E141" s="38">
        <v>0</v>
      </c>
      <c r="F141" s="38"/>
      <c r="G141" s="98"/>
      <c r="H141" s="98"/>
      <c r="I141" s="105"/>
      <c r="J141" s="108"/>
      <c r="K141" s="85"/>
    </row>
    <row r="142" spans="1:11" s="39" customFormat="1" ht="13.9" customHeight="1" x14ac:dyDescent="0.25">
      <c r="A142" s="86" t="s">
        <v>120</v>
      </c>
      <c r="B142" s="86" t="s">
        <v>234</v>
      </c>
      <c r="C142" s="5" t="s">
        <v>13</v>
      </c>
      <c r="D142" s="53">
        <f t="shared" ref="D142" si="24">SUM(D143:D146)</f>
        <v>4062.5</v>
      </c>
      <c r="E142" s="31">
        <f>E143+E144+E145+E146</f>
        <v>1942.9</v>
      </c>
      <c r="F142" s="31">
        <f>E142/D142*100</f>
        <v>47.825230769230771</v>
      </c>
      <c r="G142" s="89"/>
      <c r="H142" s="8" t="s">
        <v>18</v>
      </c>
      <c r="I142" s="2">
        <f>COUNTA(I147:I161)</f>
        <v>3</v>
      </c>
      <c r="J142" s="99" t="s">
        <v>24</v>
      </c>
      <c r="K142" s="89"/>
    </row>
    <row r="143" spans="1:11" s="39" customFormat="1" x14ac:dyDescent="0.25">
      <c r="A143" s="87"/>
      <c r="B143" s="87"/>
      <c r="C143" s="5" t="s">
        <v>14</v>
      </c>
      <c r="D143" s="53">
        <f t="shared" ref="D143" si="25">D148+D153+D158</f>
        <v>4062.5</v>
      </c>
      <c r="E143" s="31">
        <f>E148+E153+E158</f>
        <v>1942.9</v>
      </c>
      <c r="F143" s="31">
        <f>E143/D143*100</f>
        <v>47.825230769230771</v>
      </c>
      <c r="G143" s="89"/>
      <c r="H143" s="8" t="s">
        <v>19</v>
      </c>
      <c r="I143" s="2">
        <f>COUNTIF(I147:I161,"да")</f>
        <v>1</v>
      </c>
      <c r="J143" s="100"/>
      <c r="K143" s="89"/>
    </row>
    <row r="144" spans="1:11" s="39" customFormat="1" x14ac:dyDescent="0.25">
      <c r="A144" s="87"/>
      <c r="B144" s="87"/>
      <c r="C144" s="5" t="s">
        <v>16</v>
      </c>
      <c r="D144" s="57">
        <v>0</v>
      </c>
      <c r="E144" s="31">
        <f t="shared" ref="E144:E146" si="26">E149+E154+E159</f>
        <v>0</v>
      </c>
      <c r="F144" s="31"/>
      <c r="G144" s="89"/>
      <c r="H144" s="8" t="s">
        <v>20</v>
      </c>
      <c r="I144" s="2">
        <f>COUNTIF(I147:I161,"частично")</f>
        <v>1</v>
      </c>
      <c r="J144" s="100"/>
      <c r="K144" s="89"/>
    </row>
    <row r="145" spans="1:11" s="39" customFormat="1" x14ac:dyDescent="0.25">
      <c r="A145" s="87"/>
      <c r="B145" s="87"/>
      <c r="C145" s="5" t="s">
        <v>15</v>
      </c>
      <c r="D145" s="57">
        <v>0</v>
      </c>
      <c r="E145" s="31">
        <f t="shared" si="26"/>
        <v>0</v>
      </c>
      <c r="F145" s="31"/>
      <c r="G145" s="89"/>
      <c r="H145" s="8" t="s">
        <v>21</v>
      </c>
      <c r="I145" s="2">
        <f>COUNTIF(I147:I161,"нет")</f>
        <v>1</v>
      </c>
      <c r="J145" s="100"/>
      <c r="K145" s="89"/>
    </row>
    <row r="146" spans="1:11" s="39" customFormat="1" x14ac:dyDescent="0.25">
      <c r="A146" s="88"/>
      <c r="B146" s="88"/>
      <c r="C146" s="5" t="s">
        <v>17</v>
      </c>
      <c r="D146" s="57">
        <v>0</v>
      </c>
      <c r="E146" s="31">
        <f t="shared" si="26"/>
        <v>0</v>
      </c>
      <c r="F146" s="31"/>
      <c r="G146" s="89"/>
      <c r="H146" s="8" t="s">
        <v>22</v>
      </c>
      <c r="I146" s="3">
        <f>I143/I142*100</f>
        <v>33.333333333333329</v>
      </c>
      <c r="J146" s="101"/>
      <c r="K146" s="89"/>
    </row>
    <row r="147" spans="1:11" s="39" customFormat="1" ht="15" customHeight="1" x14ac:dyDescent="0.25">
      <c r="A147" s="80" t="s">
        <v>123</v>
      </c>
      <c r="B147" s="80" t="s">
        <v>235</v>
      </c>
      <c r="C147" s="37" t="s">
        <v>13</v>
      </c>
      <c r="D147" s="58">
        <f t="shared" ref="D147" si="27">SUM(D148:D151)</f>
        <v>3647.5</v>
      </c>
      <c r="E147" s="38">
        <f>E148+E149+E150+E151</f>
        <v>1717.9</v>
      </c>
      <c r="F147" s="38">
        <f>E147/D147*100</f>
        <v>47.098012337217277</v>
      </c>
      <c r="G147" s="96" t="s">
        <v>299</v>
      </c>
      <c r="H147" s="96" t="s">
        <v>279</v>
      </c>
      <c r="I147" s="103" t="s">
        <v>246</v>
      </c>
      <c r="J147" s="106" t="s">
        <v>24</v>
      </c>
      <c r="K147" s="83"/>
    </row>
    <row r="148" spans="1:11" s="39" customFormat="1" x14ac:dyDescent="0.25">
      <c r="A148" s="81"/>
      <c r="B148" s="81"/>
      <c r="C148" s="37" t="s">
        <v>14</v>
      </c>
      <c r="D148" s="58">
        <v>3647.5</v>
      </c>
      <c r="E148" s="40">
        <v>1717.9</v>
      </c>
      <c r="F148" s="38">
        <f>E148/D148*100</f>
        <v>47.098012337217277</v>
      </c>
      <c r="G148" s="97"/>
      <c r="H148" s="97"/>
      <c r="I148" s="104"/>
      <c r="J148" s="107"/>
      <c r="K148" s="84"/>
    </row>
    <row r="149" spans="1:11" s="39" customFormat="1" x14ac:dyDescent="0.25">
      <c r="A149" s="81"/>
      <c r="B149" s="81"/>
      <c r="C149" s="37" t="s">
        <v>16</v>
      </c>
      <c r="D149" s="57">
        <v>0</v>
      </c>
      <c r="E149" s="38">
        <v>0</v>
      </c>
      <c r="F149" s="38"/>
      <c r="G149" s="97"/>
      <c r="H149" s="97"/>
      <c r="I149" s="104"/>
      <c r="J149" s="107"/>
      <c r="K149" s="84"/>
    </row>
    <row r="150" spans="1:11" s="39" customFormat="1" x14ac:dyDescent="0.25">
      <c r="A150" s="81"/>
      <c r="B150" s="81"/>
      <c r="C150" s="37" t="s">
        <v>15</v>
      </c>
      <c r="D150" s="57">
        <v>0</v>
      </c>
      <c r="E150" s="38">
        <v>0</v>
      </c>
      <c r="F150" s="38"/>
      <c r="G150" s="97"/>
      <c r="H150" s="97"/>
      <c r="I150" s="104"/>
      <c r="J150" s="107"/>
      <c r="K150" s="84"/>
    </row>
    <row r="151" spans="1:11" s="39" customFormat="1" x14ac:dyDescent="0.25">
      <c r="A151" s="82"/>
      <c r="B151" s="82"/>
      <c r="C151" s="37" t="s">
        <v>17</v>
      </c>
      <c r="D151" s="57">
        <v>0</v>
      </c>
      <c r="E151" s="38">
        <v>0</v>
      </c>
      <c r="F151" s="38"/>
      <c r="G151" s="98"/>
      <c r="H151" s="98"/>
      <c r="I151" s="105"/>
      <c r="J151" s="108"/>
      <c r="K151" s="85"/>
    </row>
    <row r="152" spans="1:11" s="39" customFormat="1" ht="13.9" customHeight="1" x14ac:dyDescent="0.25">
      <c r="A152" s="80" t="s">
        <v>121</v>
      </c>
      <c r="B152" s="80" t="s">
        <v>236</v>
      </c>
      <c r="C152" s="37" t="s">
        <v>13</v>
      </c>
      <c r="D152" s="58">
        <f t="shared" ref="D152" si="28">SUM(D153:D156)</f>
        <v>190</v>
      </c>
      <c r="E152" s="38">
        <f>E153+E154+E155+E156</f>
        <v>0</v>
      </c>
      <c r="F152" s="38">
        <f>E152/D152*100</f>
        <v>0</v>
      </c>
      <c r="G152" s="96"/>
      <c r="H152" s="96"/>
      <c r="I152" s="103" t="s">
        <v>256</v>
      </c>
      <c r="J152" s="106" t="s">
        <v>24</v>
      </c>
      <c r="K152" s="83" t="s">
        <v>261</v>
      </c>
    </row>
    <row r="153" spans="1:11" s="39" customFormat="1" x14ac:dyDescent="0.25">
      <c r="A153" s="81"/>
      <c r="B153" s="81"/>
      <c r="C153" s="37" t="s">
        <v>14</v>
      </c>
      <c r="D153" s="58">
        <v>190</v>
      </c>
      <c r="E153" s="40">
        <v>0</v>
      </c>
      <c r="F153" s="38">
        <f>E153/D153*100</f>
        <v>0</v>
      </c>
      <c r="G153" s="97"/>
      <c r="H153" s="97"/>
      <c r="I153" s="104"/>
      <c r="J153" s="107"/>
      <c r="K153" s="84"/>
    </row>
    <row r="154" spans="1:11" s="39" customFormat="1" x14ac:dyDescent="0.25">
      <c r="A154" s="81"/>
      <c r="B154" s="81"/>
      <c r="C154" s="37" t="s">
        <v>16</v>
      </c>
      <c r="D154" s="57">
        <v>0</v>
      </c>
      <c r="E154" s="38">
        <v>0</v>
      </c>
      <c r="F154" s="38"/>
      <c r="G154" s="97"/>
      <c r="H154" s="97"/>
      <c r="I154" s="104"/>
      <c r="J154" s="107"/>
      <c r="K154" s="84"/>
    </row>
    <row r="155" spans="1:11" s="39" customFormat="1" x14ac:dyDescent="0.25">
      <c r="A155" s="81"/>
      <c r="B155" s="81"/>
      <c r="C155" s="37" t="s">
        <v>15</v>
      </c>
      <c r="D155" s="57">
        <v>0</v>
      </c>
      <c r="E155" s="38">
        <v>0</v>
      </c>
      <c r="F155" s="38"/>
      <c r="G155" s="97"/>
      <c r="H155" s="97"/>
      <c r="I155" s="104"/>
      <c r="J155" s="107"/>
      <c r="K155" s="84"/>
    </row>
    <row r="156" spans="1:11" s="39" customFormat="1" x14ac:dyDescent="0.25">
      <c r="A156" s="82"/>
      <c r="B156" s="82"/>
      <c r="C156" s="37" t="s">
        <v>17</v>
      </c>
      <c r="D156" s="57">
        <v>0</v>
      </c>
      <c r="E156" s="38">
        <v>0</v>
      </c>
      <c r="F156" s="38"/>
      <c r="G156" s="98"/>
      <c r="H156" s="98"/>
      <c r="I156" s="105"/>
      <c r="J156" s="108"/>
      <c r="K156" s="85"/>
    </row>
    <row r="157" spans="1:11" s="39" customFormat="1" ht="13.9" customHeight="1" x14ac:dyDescent="0.25">
      <c r="A157" s="80" t="s">
        <v>122</v>
      </c>
      <c r="B157" s="80" t="s">
        <v>237</v>
      </c>
      <c r="C157" s="37" t="s">
        <v>13</v>
      </c>
      <c r="D157" s="58">
        <f t="shared" ref="D157" si="29">SUM(D158:D161)</f>
        <v>225</v>
      </c>
      <c r="E157" s="38">
        <f>E158+E159+E160+E161</f>
        <v>225</v>
      </c>
      <c r="F157" s="38">
        <f>E157/D157*100</f>
        <v>100</v>
      </c>
      <c r="G157" s="96" t="s">
        <v>272</v>
      </c>
      <c r="H157" s="96" t="s">
        <v>280</v>
      </c>
      <c r="I157" s="103" t="s">
        <v>243</v>
      </c>
      <c r="J157" s="106" t="s">
        <v>24</v>
      </c>
      <c r="K157" s="83" t="s">
        <v>281</v>
      </c>
    </row>
    <row r="158" spans="1:11" s="39" customFormat="1" x14ac:dyDescent="0.25">
      <c r="A158" s="81"/>
      <c r="B158" s="81"/>
      <c r="C158" s="37" t="s">
        <v>14</v>
      </c>
      <c r="D158" s="58">
        <v>225</v>
      </c>
      <c r="E158" s="40">
        <v>225</v>
      </c>
      <c r="F158" s="38">
        <f>E158/D158*100</f>
        <v>100</v>
      </c>
      <c r="G158" s="97"/>
      <c r="H158" s="97"/>
      <c r="I158" s="104"/>
      <c r="J158" s="107"/>
      <c r="K158" s="84"/>
    </row>
    <row r="159" spans="1:11" s="39" customFormat="1" x14ac:dyDescent="0.25">
      <c r="A159" s="81"/>
      <c r="B159" s="81"/>
      <c r="C159" s="37" t="s">
        <v>16</v>
      </c>
      <c r="D159" s="57">
        <v>0</v>
      </c>
      <c r="E159" s="38">
        <v>0</v>
      </c>
      <c r="F159" s="38"/>
      <c r="G159" s="97"/>
      <c r="H159" s="97"/>
      <c r="I159" s="104"/>
      <c r="J159" s="107"/>
      <c r="K159" s="84"/>
    </row>
    <row r="160" spans="1:11" s="39" customFormat="1" x14ac:dyDescent="0.25">
      <c r="A160" s="81"/>
      <c r="B160" s="81"/>
      <c r="C160" s="37" t="s">
        <v>15</v>
      </c>
      <c r="D160" s="57">
        <v>0</v>
      </c>
      <c r="E160" s="38">
        <v>0</v>
      </c>
      <c r="F160" s="38"/>
      <c r="G160" s="97"/>
      <c r="H160" s="97"/>
      <c r="I160" s="104"/>
      <c r="J160" s="107"/>
      <c r="K160" s="84"/>
    </row>
    <row r="161" spans="1:11" s="39" customFormat="1" x14ac:dyDescent="0.25">
      <c r="A161" s="82"/>
      <c r="B161" s="82"/>
      <c r="C161" s="37" t="s">
        <v>17</v>
      </c>
      <c r="D161" s="57">
        <v>0</v>
      </c>
      <c r="E161" s="38">
        <v>0</v>
      </c>
      <c r="F161" s="38"/>
      <c r="G161" s="98"/>
      <c r="H161" s="98"/>
      <c r="I161" s="105"/>
      <c r="J161" s="108"/>
      <c r="K161" s="85"/>
    </row>
    <row r="162" spans="1:11" s="39" customFormat="1" ht="15" customHeight="1" x14ac:dyDescent="0.25">
      <c r="A162" s="86" t="s">
        <v>124</v>
      </c>
      <c r="B162" s="86" t="s">
        <v>129</v>
      </c>
      <c r="C162" s="5" t="s">
        <v>13</v>
      </c>
      <c r="D162" s="60">
        <f t="shared" ref="D162" si="30">SUM(D163:D166)</f>
        <v>2844.6</v>
      </c>
      <c r="E162" s="31">
        <f>E163+E164+E165+E166</f>
        <v>1250.5</v>
      </c>
      <c r="F162" s="31">
        <f>E162/D162*100</f>
        <v>43.960486535892571</v>
      </c>
      <c r="G162" s="89"/>
      <c r="H162" s="8" t="s">
        <v>18</v>
      </c>
      <c r="I162" s="2">
        <f>COUNTA(I167:I186)</f>
        <v>4</v>
      </c>
      <c r="J162" s="99" t="s">
        <v>24</v>
      </c>
      <c r="K162" s="89"/>
    </row>
    <row r="163" spans="1:11" s="39" customFormat="1" x14ac:dyDescent="0.25">
      <c r="A163" s="87"/>
      <c r="B163" s="87"/>
      <c r="C163" s="5" t="s">
        <v>14</v>
      </c>
      <c r="D163" s="60">
        <f t="shared" ref="D163" si="31">D168+D173+D178+D183</f>
        <v>2844.6</v>
      </c>
      <c r="E163" s="31">
        <f>E168+E173+E178+E183</f>
        <v>1250.5</v>
      </c>
      <c r="F163" s="31">
        <f>E163/D163*100</f>
        <v>43.960486535892571</v>
      </c>
      <c r="G163" s="89"/>
      <c r="H163" s="8" t="s">
        <v>19</v>
      </c>
      <c r="I163" s="2">
        <f>COUNTIF(I167:I186,"да")</f>
        <v>0</v>
      </c>
      <c r="J163" s="100"/>
      <c r="K163" s="89"/>
    </row>
    <row r="164" spans="1:11" s="39" customFormat="1" x14ac:dyDescent="0.25">
      <c r="A164" s="87"/>
      <c r="B164" s="87"/>
      <c r="C164" s="5" t="s">
        <v>16</v>
      </c>
      <c r="D164" s="57">
        <v>0</v>
      </c>
      <c r="E164" s="31">
        <f t="shared" ref="E164:E166" si="32">E169+E174+E179+E184</f>
        <v>0</v>
      </c>
      <c r="F164" s="31"/>
      <c r="G164" s="89"/>
      <c r="H164" s="8" t="s">
        <v>20</v>
      </c>
      <c r="I164" s="2">
        <f>COUNTIF(I167:I186,"частично")</f>
        <v>4</v>
      </c>
      <c r="J164" s="100"/>
      <c r="K164" s="89"/>
    </row>
    <row r="165" spans="1:11" s="39" customFormat="1" x14ac:dyDescent="0.25">
      <c r="A165" s="87"/>
      <c r="B165" s="87"/>
      <c r="C165" s="5" t="s">
        <v>15</v>
      </c>
      <c r="D165" s="57">
        <v>0</v>
      </c>
      <c r="E165" s="31">
        <f t="shared" si="32"/>
        <v>0</v>
      </c>
      <c r="F165" s="31"/>
      <c r="G165" s="89"/>
      <c r="H165" s="8" t="s">
        <v>21</v>
      </c>
      <c r="I165" s="2">
        <f>COUNTIF(I167:I186,"нет")</f>
        <v>0</v>
      </c>
      <c r="J165" s="100"/>
      <c r="K165" s="89"/>
    </row>
    <row r="166" spans="1:11" s="39" customFormat="1" x14ac:dyDescent="0.25">
      <c r="A166" s="88"/>
      <c r="B166" s="88"/>
      <c r="C166" s="5" t="s">
        <v>17</v>
      </c>
      <c r="D166" s="57">
        <v>0</v>
      </c>
      <c r="E166" s="31">
        <f t="shared" si="32"/>
        <v>0</v>
      </c>
      <c r="F166" s="31"/>
      <c r="G166" s="89"/>
      <c r="H166" s="8" t="s">
        <v>22</v>
      </c>
      <c r="I166" s="3">
        <f>I163/I162*100</f>
        <v>0</v>
      </c>
      <c r="J166" s="101"/>
      <c r="K166" s="89"/>
    </row>
    <row r="167" spans="1:11" s="39" customFormat="1" ht="15" customHeight="1" x14ac:dyDescent="0.25">
      <c r="A167" s="80" t="s">
        <v>125</v>
      </c>
      <c r="B167" s="80" t="s">
        <v>130</v>
      </c>
      <c r="C167" s="37" t="s">
        <v>13</v>
      </c>
      <c r="D167" s="60">
        <f t="shared" ref="D167" si="33">D168+D169+D170+D171</f>
        <v>2011.3</v>
      </c>
      <c r="E167" s="38">
        <f>E168+E169+E170+E171</f>
        <v>953.9</v>
      </c>
      <c r="F167" s="38">
        <f>E167/D167*100</f>
        <v>47.427037239596281</v>
      </c>
      <c r="G167" s="96" t="s">
        <v>273</v>
      </c>
      <c r="H167" s="96" t="s">
        <v>286</v>
      </c>
      <c r="I167" s="103" t="s">
        <v>246</v>
      </c>
      <c r="J167" s="106" t="s">
        <v>24</v>
      </c>
      <c r="K167" s="83" t="s">
        <v>260</v>
      </c>
    </row>
    <row r="168" spans="1:11" s="39" customFormat="1" x14ac:dyDescent="0.25">
      <c r="A168" s="81"/>
      <c r="B168" s="81"/>
      <c r="C168" s="37" t="s">
        <v>14</v>
      </c>
      <c r="D168" s="60">
        <v>2011.3</v>
      </c>
      <c r="E168" s="40">
        <v>953.9</v>
      </c>
      <c r="F168" s="38">
        <f>E168/D168*100</f>
        <v>47.427037239596281</v>
      </c>
      <c r="G168" s="97"/>
      <c r="H168" s="97"/>
      <c r="I168" s="104"/>
      <c r="J168" s="107"/>
      <c r="K168" s="84"/>
    </row>
    <row r="169" spans="1:11" s="39" customFormat="1" x14ac:dyDescent="0.25">
      <c r="A169" s="81"/>
      <c r="B169" s="81"/>
      <c r="C169" s="37" t="s">
        <v>16</v>
      </c>
      <c r="D169" s="57">
        <v>0</v>
      </c>
      <c r="E169" s="38">
        <v>0</v>
      </c>
      <c r="F169" s="38"/>
      <c r="G169" s="97"/>
      <c r="H169" s="97"/>
      <c r="I169" s="104"/>
      <c r="J169" s="107"/>
      <c r="K169" s="84"/>
    </row>
    <row r="170" spans="1:11" s="39" customFormat="1" x14ac:dyDescent="0.25">
      <c r="A170" s="81"/>
      <c r="B170" s="81"/>
      <c r="C170" s="37" t="s">
        <v>15</v>
      </c>
      <c r="D170" s="57">
        <v>0</v>
      </c>
      <c r="E170" s="38">
        <v>0</v>
      </c>
      <c r="F170" s="38"/>
      <c r="G170" s="97"/>
      <c r="H170" s="97"/>
      <c r="I170" s="104"/>
      <c r="J170" s="107"/>
      <c r="K170" s="84"/>
    </row>
    <row r="171" spans="1:11" s="39" customFormat="1" ht="61.15" customHeight="1" x14ac:dyDescent="0.25">
      <c r="A171" s="82"/>
      <c r="B171" s="82"/>
      <c r="C171" s="37" t="s">
        <v>17</v>
      </c>
      <c r="D171" s="57">
        <v>0</v>
      </c>
      <c r="E171" s="38">
        <v>0</v>
      </c>
      <c r="F171" s="38"/>
      <c r="G171" s="98"/>
      <c r="H171" s="98"/>
      <c r="I171" s="105"/>
      <c r="J171" s="108"/>
      <c r="K171" s="85"/>
    </row>
    <row r="172" spans="1:11" s="39" customFormat="1" ht="15" customHeight="1" x14ac:dyDescent="0.25">
      <c r="A172" s="80" t="s">
        <v>126</v>
      </c>
      <c r="B172" s="80" t="s">
        <v>131</v>
      </c>
      <c r="C172" s="37" t="s">
        <v>13</v>
      </c>
      <c r="D172" s="60">
        <f t="shared" ref="D172" si="34">D173+D174+D175+D176</f>
        <v>448.3</v>
      </c>
      <c r="E172" s="38">
        <f>E173+E174+E175+E176</f>
        <v>103.4</v>
      </c>
      <c r="F172" s="38">
        <f>E172/D172*100</f>
        <v>23.064911889359806</v>
      </c>
      <c r="G172" s="96" t="s">
        <v>283</v>
      </c>
      <c r="H172" s="96" t="s">
        <v>300</v>
      </c>
      <c r="I172" s="103" t="s">
        <v>246</v>
      </c>
      <c r="J172" s="106" t="s">
        <v>24</v>
      </c>
      <c r="K172" s="83" t="s">
        <v>260</v>
      </c>
    </row>
    <row r="173" spans="1:11" s="39" customFormat="1" x14ac:dyDescent="0.25">
      <c r="A173" s="81"/>
      <c r="B173" s="81"/>
      <c r="C173" s="37" t="s">
        <v>14</v>
      </c>
      <c r="D173" s="60">
        <v>448.3</v>
      </c>
      <c r="E173" s="40">
        <v>103.4</v>
      </c>
      <c r="F173" s="38">
        <f>E173/D173*100</f>
        <v>23.064911889359806</v>
      </c>
      <c r="G173" s="97"/>
      <c r="H173" s="97"/>
      <c r="I173" s="104"/>
      <c r="J173" s="107"/>
      <c r="K173" s="84"/>
    </row>
    <row r="174" spans="1:11" s="39" customFormat="1" x14ac:dyDescent="0.25">
      <c r="A174" s="81"/>
      <c r="B174" s="81"/>
      <c r="C174" s="37" t="s">
        <v>16</v>
      </c>
      <c r="D174" s="57">
        <v>0</v>
      </c>
      <c r="E174" s="38">
        <v>0</v>
      </c>
      <c r="F174" s="38"/>
      <c r="G174" s="97"/>
      <c r="H174" s="97"/>
      <c r="I174" s="104"/>
      <c r="J174" s="107"/>
      <c r="K174" s="84"/>
    </row>
    <row r="175" spans="1:11" s="39" customFormat="1" x14ac:dyDescent="0.25">
      <c r="A175" s="81"/>
      <c r="B175" s="81"/>
      <c r="C175" s="37" t="s">
        <v>15</v>
      </c>
      <c r="D175" s="57">
        <v>0</v>
      </c>
      <c r="E175" s="38">
        <v>0</v>
      </c>
      <c r="F175" s="38"/>
      <c r="G175" s="97"/>
      <c r="H175" s="97"/>
      <c r="I175" s="104"/>
      <c r="J175" s="107"/>
      <c r="K175" s="84"/>
    </row>
    <row r="176" spans="1:11" s="39" customFormat="1" ht="82.9" customHeight="1" x14ac:dyDescent="0.25">
      <c r="A176" s="82"/>
      <c r="B176" s="82"/>
      <c r="C176" s="37" t="s">
        <v>17</v>
      </c>
      <c r="D176" s="57">
        <v>0</v>
      </c>
      <c r="E176" s="38">
        <v>0</v>
      </c>
      <c r="F176" s="38"/>
      <c r="G176" s="98"/>
      <c r="H176" s="98"/>
      <c r="I176" s="105"/>
      <c r="J176" s="108"/>
      <c r="K176" s="85"/>
    </row>
    <row r="177" spans="1:11" s="39" customFormat="1" ht="15" customHeight="1" x14ac:dyDescent="0.25">
      <c r="A177" s="80" t="s">
        <v>127</v>
      </c>
      <c r="B177" s="80" t="s">
        <v>132</v>
      </c>
      <c r="C177" s="37" t="s">
        <v>13</v>
      </c>
      <c r="D177" s="60">
        <f t="shared" ref="D177" si="35">D178+D179+D180+D181</f>
        <v>300</v>
      </c>
      <c r="E177" s="38">
        <f>E178+E179+E180+E181</f>
        <v>133.19999999999999</v>
      </c>
      <c r="F177" s="38">
        <f>E177/D177*100</f>
        <v>44.399999999999991</v>
      </c>
      <c r="G177" s="96" t="s">
        <v>282</v>
      </c>
      <c r="H177" s="96" t="s">
        <v>284</v>
      </c>
      <c r="I177" s="103" t="s">
        <v>246</v>
      </c>
      <c r="J177" s="106" t="s">
        <v>24</v>
      </c>
      <c r="K177" s="83" t="s">
        <v>260</v>
      </c>
    </row>
    <row r="178" spans="1:11" s="39" customFormat="1" x14ac:dyDescent="0.25">
      <c r="A178" s="81"/>
      <c r="B178" s="81"/>
      <c r="C178" s="37" t="s">
        <v>14</v>
      </c>
      <c r="D178" s="60">
        <v>300</v>
      </c>
      <c r="E178" s="40">
        <v>133.19999999999999</v>
      </c>
      <c r="F178" s="38">
        <f>E178/D178*100</f>
        <v>44.399999999999991</v>
      </c>
      <c r="G178" s="97"/>
      <c r="H178" s="97"/>
      <c r="I178" s="104"/>
      <c r="J178" s="107"/>
      <c r="K178" s="84"/>
    </row>
    <row r="179" spans="1:11" s="39" customFormat="1" x14ac:dyDescent="0.25">
      <c r="A179" s="81"/>
      <c r="B179" s="81"/>
      <c r="C179" s="37" t="s">
        <v>16</v>
      </c>
      <c r="D179" s="57">
        <v>0</v>
      </c>
      <c r="E179" s="38">
        <v>0</v>
      </c>
      <c r="F179" s="38"/>
      <c r="G179" s="97"/>
      <c r="H179" s="97"/>
      <c r="I179" s="104"/>
      <c r="J179" s="107"/>
      <c r="K179" s="84"/>
    </row>
    <row r="180" spans="1:11" s="39" customFormat="1" x14ac:dyDescent="0.25">
      <c r="A180" s="81"/>
      <c r="B180" s="81"/>
      <c r="C180" s="37" t="s">
        <v>15</v>
      </c>
      <c r="D180" s="57">
        <v>0</v>
      </c>
      <c r="E180" s="38">
        <v>0</v>
      </c>
      <c r="F180" s="38"/>
      <c r="G180" s="97"/>
      <c r="H180" s="97"/>
      <c r="I180" s="104"/>
      <c r="J180" s="107"/>
      <c r="K180" s="84"/>
    </row>
    <row r="181" spans="1:11" s="39" customFormat="1" ht="54" customHeight="1" x14ac:dyDescent="0.25">
      <c r="A181" s="82"/>
      <c r="B181" s="82"/>
      <c r="C181" s="37" t="s">
        <v>17</v>
      </c>
      <c r="D181" s="57">
        <v>0</v>
      </c>
      <c r="E181" s="38">
        <v>0</v>
      </c>
      <c r="F181" s="38"/>
      <c r="G181" s="98"/>
      <c r="H181" s="98"/>
      <c r="I181" s="105"/>
      <c r="J181" s="108"/>
      <c r="K181" s="85"/>
    </row>
    <row r="182" spans="1:11" s="39" customFormat="1" ht="15" customHeight="1" x14ac:dyDescent="0.25">
      <c r="A182" s="80" t="s">
        <v>128</v>
      </c>
      <c r="B182" s="80" t="s">
        <v>133</v>
      </c>
      <c r="C182" s="37" t="s">
        <v>13</v>
      </c>
      <c r="D182" s="61">
        <f t="shared" ref="D182" si="36">D183+D184+D185+D186</f>
        <v>85</v>
      </c>
      <c r="E182" s="38">
        <f>E183+E184+E185+E186</f>
        <v>60</v>
      </c>
      <c r="F182" s="38">
        <f>E182/D182*100</f>
        <v>70.588235294117652</v>
      </c>
      <c r="G182" s="96" t="s">
        <v>258</v>
      </c>
      <c r="H182" s="96" t="s">
        <v>285</v>
      </c>
      <c r="I182" s="103" t="s">
        <v>246</v>
      </c>
      <c r="J182" s="106" t="s">
        <v>24</v>
      </c>
      <c r="K182" s="83" t="s">
        <v>260</v>
      </c>
    </row>
    <row r="183" spans="1:11" s="39" customFormat="1" x14ac:dyDescent="0.25">
      <c r="A183" s="81"/>
      <c r="B183" s="81"/>
      <c r="C183" s="37" t="s">
        <v>14</v>
      </c>
      <c r="D183" s="61">
        <v>85</v>
      </c>
      <c r="E183" s="40">
        <v>60</v>
      </c>
      <c r="F183" s="38">
        <f>E183/D183*100</f>
        <v>70.588235294117652</v>
      </c>
      <c r="G183" s="97"/>
      <c r="H183" s="97"/>
      <c r="I183" s="104"/>
      <c r="J183" s="107"/>
      <c r="K183" s="84"/>
    </row>
    <row r="184" spans="1:11" s="39" customFormat="1" x14ac:dyDescent="0.25">
      <c r="A184" s="81"/>
      <c r="B184" s="81"/>
      <c r="C184" s="37" t="s">
        <v>16</v>
      </c>
      <c r="D184" s="57">
        <v>0</v>
      </c>
      <c r="E184" s="38">
        <v>0</v>
      </c>
      <c r="F184" s="38"/>
      <c r="G184" s="97"/>
      <c r="H184" s="97"/>
      <c r="I184" s="104"/>
      <c r="J184" s="107"/>
      <c r="K184" s="84"/>
    </row>
    <row r="185" spans="1:11" s="39" customFormat="1" x14ac:dyDescent="0.25">
      <c r="A185" s="81"/>
      <c r="B185" s="81"/>
      <c r="C185" s="37" t="s">
        <v>15</v>
      </c>
      <c r="D185" s="57">
        <v>0</v>
      </c>
      <c r="E185" s="38">
        <v>0</v>
      </c>
      <c r="F185" s="38"/>
      <c r="G185" s="97"/>
      <c r="H185" s="97"/>
      <c r="I185" s="104"/>
      <c r="J185" s="107"/>
      <c r="K185" s="84"/>
    </row>
    <row r="186" spans="1:11" s="39" customFormat="1" ht="66.599999999999994" customHeight="1" x14ac:dyDescent="0.25">
      <c r="A186" s="82"/>
      <c r="B186" s="82"/>
      <c r="C186" s="37" t="s">
        <v>17</v>
      </c>
      <c r="D186" s="57">
        <v>0</v>
      </c>
      <c r="E186" s="38">
        <v>0</v>
      </c>
      <c r="F186" s="38"/>
      <c r="G186" s="98"/>
      <c r="H186" s="98"/>
      <c r="I186" s="105"/>
      <c r="J186" s="108"/>
      <c r="K186" s="85"/>
    </row>
    <row r="187" spans="1:11" s="39" customFormat="1" ht="15" customHeight="1" x14ac:dyDescent="0.25">
      <c r="A187" s="86" t="s">
        <v>134</v>
      </c>
      <c r="B187" s="86" t="s">
        <v>136</v>
      </c>
      <c r="C187" s="5" t="s">
        <v>13</v>
      </c>
      <c r="D187" s="55">
        <f t="shared" ref="D187" si="37">SUM(D188:D191)</f>
        <v>17064.5</v>
      </c>
      <c r="E187" s="31">
        <f>E188+E189+E190+E191</f>
        <v>7632.4</v>
      </c>
      <c r="F187" s="31">
        <f>E187/D187*100</f>
        <v>44.726771953470653</v>
      </c>
      <c r="G187" s="89"/>
      <c r="H187" s="8" t="s">
        <v>18</v>
      </c>
      <c r="I187" s="2">
        <f>COUNTA(I192)</f>
        <v>1</v>
      </c>
      <c r="J187" s="99" t="s">
        <v>24</v>
      </c>
      <c r="K187" s="89"/>
    </row>
    <row r="188" spans="1:11" s="39" customFormat="1" x14ac:dyDescent="0.25">
      <c r="A188" s="87"/>
      <c r="B188" s="87"/>
      <c r="C188" s="5" t="s">
        <v>14</v>
      </c>
      <c r="D188" s="55">
        <v>0</v>
      </c>
      <c r="E188" s="31">
        <f>E193</f>
        <v>0</v>
      </c>
      <c r="F188" s="31"/>
      <c r="G188" s="89"/>
      <c r="H188" s="8" t="s">
        <v>19</v>
      </c>
      <c r="I188" s="2">
        <f>COUNTIF(I192,"да")</f>
        <v>0</v>
      </c>
      <c r="J188" s="100"/>
      <c r="K188" s="89"/>
    </row>
    <row r="189" spans="1:11" s="39" customFormat="1" x14ac:dyDescent="0.25">
      <c r="A189" s="87"/>
      <c r="B189" s="87"/>
      <c r="C189" s="5" t="s">
        <v>16</v>
      </c>
      <c r="D189" s="58">
        <v>17064.5</v>
      </c>
      <c r="E189" s="31">
        <f t="shared" ref="E189:E191" si="38">E194</f>
        <v>7632.4</v>
      </c>
      <c r="F189" s="31">
        <f>E189/D189*100</f>
        <v>44.726771953470653</v>
      </c>
      <c r="G189" s="89"/>
      <c r="H189" s="8" t="s">
        <v>20</v>
      </c>
      <c r="I189" s="2">
        <f>COUNTIF(I192,"частично")</f>
        <v>1</v>
      </c>
      <c r="J189" s="100"/>
      <c r="K189" s="89"/>
    </row>
    <row r="190" spans="1:11" s="39" customFormat="1" x14ac:dyDescent="0.25">
      <c r="A190" s="87"/>
      <c r="B190" s="87"/>
      <c r="C190" s="5" t="s">
        <v>15</v>
      </c>
      <c r="D190" s="57">
        <v>0</v>
      </c>
      <c r="E190" s="31">
        <f t="shared" si="38"/>
        <v>0</v>
      </c>
      <c r="F190" s="31"/>
      <c r="G190" s="89"/>
      <c r="H190" s="8" t="s">
        <v>21</v>
      </c>
      <c r="I190" s="2">
        <f>COUNTIF(I192,"нет")</f>
        <v>0</v>
      </c>
      <c r="J190" s="100"/>
      <c r="K190" s="89"/>
    </row>
    <row r="191" spans="1:11" s="39" customFormat="1" x14ac:dyDescent="0.25">
      <c r="A191" s="88"/>
      <c r="B191" s="88"/>
      <c r="C191" s="5" t="s">
        <v>17</v>
      </c>
      <c r="D191" s="57">
        <v>0</v>
      </c>
      <c r="E191" s="31">
        <f t="shared" si="38"/>
        <v>0</v>
      </c>
      <c r="F191" s="31"/>
      <c r="G191" s="89"/>
      <c r="H191" s="8" t="s">
        <v>22</v>
      </c>
      <c r="I191" s="3">
        <f>I188/I187*100</f>
        <v>0</v>
      </c>
      <c r="J191" s="101"/>
      <c r="K191" s="89"/>
    </row>
    <row r="192" spans="1:11" s="39" customFormat="1" ht="15" customHeight="1" x14ac:dyDescent="0.25">
      <c r="A192" s="80" t="s">
        <v>135</v>
      </c>
      <c r="B192" s="80" t="s">
        <v>137</v>
      </c>
      <c r="C192" s="37" t="s">
        <v>13</v>
      </c>
      <c r="D192" s="55">
        <f t="shared" ref="D192" si="39">SUM(D193:D196)</f>
        <v>17064.5</v>
      </c>
      <c r="E192" s="38">
        <f>E193+E194+E195+E196</f>
        <v>7632.4</v>
      </c>
      <c r="F192" s="38">
        <f>E192/D192*100</f>
        <v>44.726771953470653</v>
      </c>
      <c r="G192" s="96" t="s">
        <v>268</v>
      </c>
      <c r="H192" s="96" t="s">
        <v>269</v>
      </c>
      <c r="I192" s="103" t="s">
        <v>246</v>
      </c>
      <c r="J192" s="106" t="s">
        <v>24</v>
      </c>
      <c r="K192" s="83" t="s">
        <v>259</v>
      </c>
    </row>
    <row r="193" spans="1:11" s="39" customFormat="1" x14ac:dyDescent="0.25">
      <c r="A193" s="81"/>
      <c r="B193" s="81"/>
      <c r="C193" s="37" t="s">
        <v>14</v>
      </c>
      <c r="D193" s="55">
        <v>0</v>
      </c>
      <c r="E193" s="38">
        <v>0</v>
      </c>
      <c r="F193" s="38"/>
      <c r="G193" s="97"/>
      <c r="H193" s="97"/>
      <c r="I193" s="104"/>
      <c r="J193" s="107"/>
      <c r="K193" s="84"/>
    </row>
    <row r="194" spans="1:11" s="39" customFormat="1" x14ac:dyDescent="0.25">
      <c r="A194" s="81"/>
      <c r="B194" s="81"/>
      <c r="C194" s="37" t="s">
        <v>16</v>
      </c>
      <c r="D194" s="57">
        <v>17064.5</v>
      </c>
      <c r="E194" s="40">
        <v>7632.4</v>
      </c>
      <c r="F194" s="38">
        <f>E194/D194*100</f>
        <v>44.726771953470653</v>
      </c>
      <c r="G194" s="97"/>
      <c r="H194" s="97"/>
      <c r="I194" s="104"/>
      <c r="J194" s="107"/>
      <c r="K194" s="84"/>
    </row>
    <row r="195" spans="1:11" s="39" customFormat="1" x14ac:dyDescent="0.25">
      <c r="A195" s="81"/>
      <c r="B195" s="81"/>
      <c r="C195" s="37" t="s">
        <v>15</v>
      </c>
      <c r="D195" s="57">
        <v>0</v>
      </c>
      <c r="E195" s="38">
        <v>0</v>
      </c>
      <c r="F195" s="38"/>
      <c r="G195" s="97"/>
      <c r="H195" s="97"/>
      <c r="I195" s="104"/>
      <c r="J195" s="107"/>
      <c r="K195" s="84"/>
    </row>
    <row r="196" spans="1:11" s="39" customFormat="1" ht="99.75" customHeight="1" x14ac:dyDescent="0.25">
      <c r="A196" s="82"/>
      <c r="B196" s="82"/>
      <c r="C196" s="37" t="s">
        <v>17</v>
      </c>
      <c r="D196" s="57">
        <v>0</v>
      </c>
      <c r="E196" s="38">
        <v>0</v>
      </c>
      <c r="F196" s="38"/>
      <c r="G196" s="98"/>
      <c r="H196" s="98"/>
      <c r="I196" s="105"/>
      <c r="J196" s="108"/>
      <c r="K196" s="85"/>
    </row>
    <row r="197" spans="1:11" s="39" customFormat="1" ht="15" customHeight="1" x14ac:dyDescent="0.25">
      <c r="A197" s="86" t="s">
        <v>138</v>
      </c>
      <c r="B197" s="86" t="s">
        <v>142</v>
      </c>
      <c r="C197" s="5" t="s">
        <v>13</v>
      </c>
      <c r="D197" s="54">
        <f>SUM(D198:D201)</f>
        <v>50.4</v>
      </c>
      <c r="E197" s="31">
        <f>E198+E199+E200+E201</f>
        <v>2.9</v>
      </c>
      <c r="F197" s="31">
        <f>E197/D197*100</f>
        <v>5.753968253968254</v>
      </c>
      <c r="G197" s="89"/>
      <c r="H197" s="8" t="s">
        <v>18</v>
      </c>
      <c r="I197" s="2">
        <f>COUNTA(I202)</f>
        <v>1</v>
      </c>
      <c r="J197" s="116" t="s">
        <v>92</v>
      </c>
      <c r="K197" s="89"/>
    </row>
    <row r="198" spans="1:11" s="39" customFormat="1" x14ac:dyDescent="0.25">
      <c r="A198" s="87"/>
      <c r="B198" s="87"/>
      <c r="C198" s="5" t="s">
        <v>14</v>
      </c>
      <c r="D198" s="54">
        <f t="shared" ref="D198" si="40">D203</f>
        <v>50.4</v>
      </c>
      <c r="E198" s="31">
        <f t="shared" ref="E198:E201" si="41">E203</f>
        <v>2.9</v>
      </c>
      <c r="F198" s="31">
        <f>E198/D198*100</f>
        <v>5.753968253968254</v>
      </c>
      <c r="G198" s="89"/>
      <c r="H198" s="8" t="s">
        <v>19</v>
      </c>
      <c r="I198" s="2">
        <f>COUNTIF(I202,"да")</f>
        <v>0</v>
      </c>
      <c r="J198" s="117"/>
      <c r="K198" s="89"/>
    </row>
    <row r="199" spans="1:11" s="39" customFormat="1" x14ac:dyDescent="0.25">
      <c r="A199" s="87"/>
      <c r="B199" s="87"/>
      <c r="C199" s="5" t="s">
        <v>16</v>
      </c>
      <c r="D199" s="54">
        <v>0</v>
      </c>
      <c r="E199" s="31">
        <f t="shared" si="41"/>
        <v>0</v>
      </c>
      <c r="F199" s="31"/>
      <c r="G199" s="89"/>
      <c r="H199" s="8" t="s">
        <v>20</v>
      </c>
      <c r="I199" s="2">
        <f>COUNTIF(I202,"частично")</f>
        <v>1</v>
      </c>
      <c r="J199" s="117"/>
      <c r="K199" s="89"/>
    </row>
    <row r="200" spans="1:11" s="39" customFormat="1" x14ac:dyDescent="0.25">
      <c r="A200" s="87"/>
      <c r="B200" s="87"/>
      <c r="C200" s="5" t="s">
        <v>15</v>
      </c>
      <c r="D200" s="54">
        <v>0</v>
      </c>
      <c r="E200" s="31">
        <f t="shared" si="41"/>
        <v>0</v>
      </c>
      <c r="F200" s="31"/>
      <c r="G200" s="89"/>
      <c r="H200" s="8" t="s">
        <v>21</v>
      </c>
      <c r="I200" s="2">
        <f>COUNTIF(I202,"нет")</f>
        <v>0</v>
      </c>
      <c r="J200" s="117"/>
      <c r="K200" s="89"/>
    </row>
    <row r="201" spans="1:11" s="39" customFormat="1" ht="70.5" customHeight="1" x14ac:dyDescent="0.25">
      <c r="A201" s="88"/>
      <c r="B201" s="88"/>
      <c r="C201" s="5" t="s">
        <v>17</v>
      </c>
      <c r="D201" s="57">
        <v>0</v>
      </c>
      <c r="E201" s="31">
        <f t="shared" si="41"/>
        <v>0</v>
      </c>
      <c r="F201" s="31"/>
      <c r="G201" s="89"/>
      <c r="H201" s="8" t="s">
        <v>22</v>
      </c>
      <c r="I201" s="3">
        <f>I198/I197*100</f>
        <v>0</v>
      </c>
      <c r="J201" s="118"/>
      <c r="K201" s="89"/>
    </row>
    <row r="202" spans="1:11" s="39" customFormat="1" ht="15" customHeight="1" x14ac:dyDescent="0.25">
      <c r="A202" s="80" t="s">
        <v>139</v>
      </c>
      <c r="B202" s="80" t="s">
        <v>143</v>
      </c>
      <c r="C202" s="37" t="s">
        <v>13</v>
      </c>
      <c r="D202" s="51">
        <f t="shared" ref="D202" si="42">SUM(D203:D206)</f>
        <v>50.4</v>
      </c>
      <c r="E202" s="38">
        <f>E203+E204+E205+E206</f>
        <v>2.9</v>
      </c>
      <c r="F202" s="38">
        <f>E202/D202*100</f>
        <v>5.753968253968254</v>
      </c>
      <c r="G202" s="96" t="s">
        <v>251</v>
      </c>
      <c r="H202" s="96" t="s">
        <v>252</v>
      </c>
      <c r="I202" s="103" t="s">
        <v>246</v>
      </c>
      <c r="J202" s="110" t="s">
        <v>92</v>
      </c>
      <c r="K202" s="83" t="s">
        <v>259</v>
      </c>
    </row>
    <row r="203" spans="1:11" s="39" customFormat="1" x14ac:dyDescent="0.25">
      <c r="A203" s="81"/>
      <c r="B203" s="81"/>
      <c r="C203" s="37" t="s">
        <v>14</v>
      </c>
      <c r="D203" s="54">
        <v>50.4</v>
      </c>
      <c r="E203" s="40">
        <v>2.9</v>
      </c>
      <c r="F203" s="38">
        <f>E203/D203*100</f>
        <v>5.753968253968254</v>
      </c>
      <c r="G203" s="97"/>
      <c r="H203" s="97"/>
      <c r="I203" s="104"/>
      <c r="J203" s="111"/>
      <c r="K203" s="84"/>
    </row>
    <row r="204" spans="1:11" s="39" customFormat="1" x14ac:dyDescent="0.25">
      <c r="A204" s="81"/>
      <c r="B204" s="81"/>
      <c r="C204" s="37" t="s">
        <v>16</v>
      </c>
      <c r="D204" s="62">
        <v>0</v>
      </c>
      <c r="E204" s="42">
        <v>0</v>
      </c>
      <c r="F204" s="38"/>
      <c r="G204" s="97"/>
      <c r="H204" s="97"/>
      <c r="I204" s="104"/>
      <c r="J204" s="111"/>
      <c r="K204" s="84"/>
    </row>
    <row r="205" spans="1:11" s="39" customFormat="1" x14ac:dyDescent="0.25">
      <c r="A205" s="81"/>
      <c r="B205" s="81"/>
      <c r="C205" s="37" t="s">
        <v>15</v>
      </c>
      <c r="D205" s="54">
        <v>0</v>
      </c>
      <c r="E205" s="38">
        <v>0</v>
      </c>
      <c r="F205" s="38"/>
      <c r="G205" s="97"/>
      <c r="H205" s="97"/>
      <c r="I205" s="104"/>
      <c r="J205" s="111"/>
      <c r="K205" s="84"/>
    </row>
    <row r="206" spans="1:11" s="39" customFormat="1" ht="108.75" customHeight="1" x14ac:dyDescent="0.25">
      <c r="A206" s="82"/>
      <c r="B206" s="82"/>
      <c r="C206" s="37" t="s">
        <v>17</v>
      </c>
      <c r="D206" s="57">
        <v>0</v>
      </c>
      <c r="E206" s="38">
        <v>0</v>
      </c>
      <c r="F206" s="38"/>
      <c r="G206" s="98"/>
      <c r="H206" s="98"/>
      <c r="I206" s="105"/>
      <c r="J206" s="112"/>
      <c r="K206" s="85"/>
    </row>
    <row r="207" spans="1:11" s="39" customFormat="1" ht="15" customHeight="1" x14ac:dyDescent="0.25">
      <c r="A207" s="86" t="s">
        <v>140</v>
      </c>
      <c r="B207" s="86" t="s">
        <v>238</v>
      </c>
      <c r="C207" s="5" t="s">
        <v>13</v>
      </c>
      <c r="D207" s="54">
        <f t="shared" ref="D207" si="43">SUM(D208:D211)</f>
        <v>3462.3</v>
      </c>
      <c r="E207" s="31">
        <f>E208+E209+E210+E211</f>
        <v>1605.7</v>
      </c>
      <c r="F207" s="31">
        <f>E207/D207*100</f>
        <v>46.376686017964936</v>
      </c>
      <c r="G207" s="89"/>
      <c r="H207" s="8" t="s">
        <v>18</v>
      </c>
      <c r="I207" s="2">
        <f>COUNTA(I212)</f>
        <v>1</v>
      </c>
      <c r="J207" s="99" t="s">
        <v>92</v>
      </c>
      <c r="K207" s="89"/>
    </row>
    <row r="208" spans="1:11" s="39" customFormat="1" x14ac:dyDescent="0.25">
      <c r="A208" s="87"/>
      <c r="B208" s="87"/>
      <c r="C208" s="5" t="s">
        <v>14</v>
      </c>
      <c r="D208" s="54">
        <f t="shared" ref="D208" si="44">-D213</f>
        <v>0</v>
      </c>
      <c r="E208" s="31">
        <f t="shared" ref="E208:E211" si="45">E213</f>
        <v>0</v>
      </c>
      <c r="F208" s="31"/>
      <c r="G208" s="89"/>
      <c r="H208" s="8" t="s">
        <v>19</v>
      </c>
      <c r="I208" s="2">
        <f>COUNTIF(I212,"да")</f>
        <v>0</v>
      </c>
      <c r="J208" s="100"/>
      <c r="K208" s="89"/>
    </row>
    <row r="209" spans="1:11" s="39" customFormat="1" x14ac:dyDescent="0.25">
      <c r="A209" s="87"/>
      <c r="B209" s="87"/>
      <c r="C209" s="5" t="s">
        <v>16</v>
      </c>
      <c r="D209" s="54">
        <f t="shared" ref="D209" si="46">D214</f>
        <v>3462.3</v>
      </c>
      <c r="E209" s="31">
        <f t="shared" si="45"/>
        <v>1605.7</v>
      </c>
      <c r="F209" s="31">
        <f>E209/D209*100</f>
        <v>46.376686017964936</v>
      </c>
      <c r="G209" s="89"/>
      <c r="H209" s="8" t="s">
        <v>20</v>
      </c>
      <c r="I209" s="2">
        <f>COUNTIF(I212,"частично")</f>
        <v>1</v>
      </c>
      <c r="J209" s="100"/>
      <c r="K209" s="89"/>
    </row>
    <row r="210" spans="1:11" s="39" customFormat="1" x14ac:dyDescent="0.25">
      <c r="A210" s="87"/>
      <c r="B210" s="87"/>
      <c r="C210" s="5" t="s">
        <v>15</v>
      </c>
      <c r="D210" s="54">
        <v>0</v>
      </c>
      <c r="E210" s="31">
        <f t="shared" si="45"/>
        <v>0</v>
      </c>
      <c r="F210" s="31"/>
      <c r="G210" s="89"/>
      <c r="H210" s="8" t="s">
        <v>21</v>
      </c>
      <c r="I210" s="2">
        <f>COUNTIF(I212,"нет")</f>
        <v>0</v>
      </c>
      <c r="J210" s="100"/>
      <c r="K210" s="89"/>
    </row>
    <row r="211" spans="1:11" s="39" customFormat="1" ht="51" customHeight="1" x14ac:dyDescent="0.25">
      <c r="A211" s="88"/>
      <c r="B211" s="88"/>
      <c r="C211" s="5" t="s">
        <v>17</v>
      </c>
      <c r="D211" s="54">
        <v>0</v>
      </c>
      <c r="E211" s="31">
        <f t="shared" si="45"/>
        <v>0</v>
      </c>
      <c r="F211" s="31"/>
      <c r="G211" s="89"/>
      <c r="H211" s="8" t="s">
        <v>22</v>
      </c>
      <c r="I211" s="3">
        <f>I208/I207*100</f>
        <v>0</v>
      </c>
      <c r="J211" s="101"/>
      <c r="K211" s="89"/>
    </row>
    <row r="212" spans="1:11" s="39" customFormat="1" ht="15" customHeight="1" x14ac:dyDescent="0.25">
      <c r="A212" s="80" t="s">
        <v>141</v>
      </c>
      <c r="B212" s="80" t="s">
        <v>239</v>
      </c>
      <c r="C212" s="37" t="s">
        <v>13</v>
      </c>
      <c r="D212" s="54">
        <f t="shared" ref="D212" si="47">SUM(D213:D216)</f>
        <v>3462.3</v>
      </c>
      <c r="E212" s="38">
        <f>E213+E214+E215+E216</f>
        <v>1605.7</v>
      </c>
      <c r="F212" s="38">
        <f>E212/D212*100</f>
        <v>46.376686017964936</v>
      </c>
      <c r="G212" s="96" t="s">
        <v>253</v>
      </c>
      <c r="H212" s="96" t="s">
        <v>254</v>
      </c>
      <c r="I212" s="103" t="s">
        <v>246</v>
      </c>
      <c r="J212" s="110" t="s">
        <v>92</v>
      </c>
      <c r="K212" s="83" t="s">
        <v>257</v>
      </c>
    </row>
    <row r="213" spans="1:11" s="39" customFormat="1" x14ac:dyDescent="0.25">
      <c r="A213" s="81"/>
      <c r="B213" s="81"/>
      <c r="C213" s="37" t="s">
        <v>14</v>
      </c>
      <c r="D213" s="54">
        <v>0</v>
      </c>
      <c r="E213" s="38">
        <v>0</v>
      </c>
      <c r="F213" s="38"/>
      <c r="G213" s="97"/>
      <c r="H213" s="97"/>
      <c r="I213" s="104"/>
      <c r="J213" s="111"/>
      <c r="K213" s="84"/>
    </row>
    <row r="214" spans="1:11" s="39" customFormat="1" x14ac:dyDescent="0.25">
      <c r="A214" s="81"/>
      <c r="B214" s="81"/>
      <c r="C214" s="37" t="s">
        <v>16</v>
      </c>
      <c r="D214" s="54">
        <v>3462.3</v>
      </c>
      <c r="E214" s="40">
        <v>1605.7</v>
      </c>
      <c r="F214" s="38">
        <f>E214/D214*100</f>
        <v>46.376686017964936</v>
      </c>
      <c r="G214" s="97"/>
      <c r="H214" s="97"/>
      <c r="I214" s="104"/>
      <c r="J214" s="111"/>
      <c r="K214" s="84"/>
    </row>
    <row r="215" spans="1:11" s="39" customFormat="1" x14ac:dyDescent="0.25">
      <c r="A215" s="81"/>
      <c r="B215" s="81"/>
      <c r="C215" s="37" t="s">
        <v>15</v>
      </c>
      <c r="D215" s="62">
        <v>0</v>
      </c>
      <c r="E215" s="38">
        <v>0</v>
      </c>
      <c r="F215" s="38"/>
      <c r="G215" s="97"/>
      <c r="H215" s="97"/>
      <c r="I215" s="104"/>
      <c r="J215" s="111"/>
      <c r="K215" s="84"/>
    </row>
    <row r="216" spans="1:11" s="39" customFormat="1" ht="97.5" customHeight="1" x14ac:dyDescent="0.25">
      <c r="A216" s="82"/>
      <c r="B216" s="82"/>
      <c r="C216" s="37" t="s">
        <v>17</v>
      </c>
      <c r="D216" s="57">
        <v>0</v>
      </c>
      <c r="E216" s="38">
        <v>0</v>
      </c>
      <c r="F216" s="38"/>
      <c r="G216" s="98"/>
      <c r="H216" s="98"/>
      <c r="I216" s="105"/>
      <c r="J216" s="112"/>
      <c r="K216" s="85"/>
    </row>
    <row r="217" spans="1:11" s="39" customFormat="1" ht="15" customHeight="1" x14ac:dyDescent="0.25">
      <c r="A217" s="86" t="s">
        <v>144</v>
      </c>
      <c r="B217" s="86" t="s">
        <v>146</v>
      </c>
      <c r="C217" s="5" t="s">
        <v>13</v>
      </c>
      <c r="D217" s="55">
        <f t="shared" ref="D217" si="48">SUM(D218:D221)</f>
        <v>1252.8</v>
      </c>
      <c r="E217" s="31">
        <f>E218+E219+E220+E221</f>
        <v>260.2</v>
      </c>
      <c r="F217" s="31">
        <f>E217/D217*100</f>
        <v>20.769476372924647</v>
      </c>
      <c r="G217" s="89"/>
      <c r="H217" s="8" t="s">
        <v>18</v>
      </c>
      <c r="I217" s="2">
        <f>COUNTA(I222)</f>
        <v>1</v>
      </c>
      <c r="J217" s="99" t="s">
        <v>91</v>
      </c>
      <c r="K217" s="89"/>
    </row>
    <row r="218" spans="1:11" s="39" customFormat="1" x14ac:dyDescent="0.25">
      <c r="A218" s="87"/>
      <c r="B218" s="87"/>
      <c r="C218" s="5" t="s">
        <v>14</v>
      </c>
      <c r="D218" s="55">
        <v>0</v>
      </c>
      <c r="E218" s="31">
        <f t="shared" ref="E218:E221" si="49">E223</f>
        <v>0</v>
      </c>
      <c r="F218" s="31"/>
      <c r="G218" s="89"/>
      <c r="H218" s="8" t="s">
        <v>19</v>
      </c>
      <c r="I218" s="2">
        <f>COUNTIF(I222,"да")</f>
        <v>0</v>
      </c>
      <c r="J218" s="100"/>
      <c r="K218" s="89"/>
    </row>
    <row r="219" spans="1:11" s="39" customFormat="1" x14ac:dyDescent="0.25">
      <c r="A219" s="87"/>
      <c r="B219" s="87"/>
      <c r="C219" s="5" t="s">
        <v>16</v>
      </c>
      <c r="D219" s="55">
        <f t="shared" ref="D219" si="50">D224</f>
        <v>1252.8</v>
      </c>
      <c r="E219" s="31">
        <f t="shared" si="49"/>
        <v>260.2</v>
      </c>
      <c r="F219" s="31">
        <f>E219/D219*100</f>
        <v>20.769476372924647</v>
      </c>
      <c r="G219" s="89"/>
      <c r="H219" s="8" t="s">
        <v>20</v>
      </c>
      <c r="I219" s="2">
        <f>COUNTIF(I222,"частично")</f>
        <v>1</v>
      </c>
      <c r="J219" s="100"/>
      <c r="K219" s="89"/>
    </row>
    <row r="220" spans="1:11" s="39" customFormat="1" x14ac:dyDescent="0.25">
      <c r="A220" s="87"/>
      <c r="B220" s="87"/>
      <c r="C220" s="5" t="s">
        <v>15</v>
      </c>
      <c r="D220" s="57">
        <v>0</v>
      </c>
      <c r="E220" s="31">
        <f t="shared" si="49"/>
        <v>0</v>
      </c>
      <c r="F220" s="31"/>
      <c r="G220" s="89"/>
      <c r="H220" s="8" t="s">
        <v>21</v>
      </c>
      <c r="I220" s="2">
        <f>COUNTIF(I222,"нет")</f>
        <v>0</v>
      </c>
      <c r="J220" s="100"/>
      <c r="K220" s="89"/>
    </row>
    <row r="221" spans="1:11" s="39" customFormat="1" x14ac:dyDescent="0.25">
      <c r="A221" s="88"/>
      <c r="B221" s="88"/>
      <c r="C221" s="5" t="s">
        <v>17</v>
      </c>
      <c r="D221" s="57">
        <v>0</v>
      </c>
      <c r="E221" s="31">
        <f t="shared" si="49"/>
        <v>0</v>
      </c>
      <c r="F221" s="31"/>
      <c r="G221" s="89"/>
      <c r="H221" s="8" t="s">
        <v>22</v>
      </c>
      <c r="I221" s="3">
        <f>I218/I217*100</f>
        <v>0</v>
      </c>
      <c r="J221" s="101"/>
      <c r="K221" s="89"/>
    </row>
    <row r="222" spans="1:11" s="39" customFormat="1" ht="15" customHeight="1" x14ac:dyDescent="0.25">
      <c r="A222" s="80" t="s">
        <v>145</v>
      </c>
      <c r="B222" s="80" t="s">
        <v>147</v>
      </c>
      <c r="C222" s="37" t="s">
        <v>13</v>
      </c>
      <c r="D222" s="55">
        <f t="shared" ref="D222" si="51">SUM(D223:D226)</f>
        <v>1252.8</v>
      </c>
      <c r="E222" s="38">
        <f>E223+E224+E225+E226</f>
        <v>260.2</v>
      </c>
      <c r="F222" s="38">
        <f>E222/D222*100</f>
        <v>20.769476372924647</v>
      </c>
      <c r="G222" s="96" t="s">
        <v>264</v>
      </c>
      <c r="H222" s="96" t="s">
        <v>265</v>
      </c>
      <c r="I222" s="103" t="s">
        <v>246</v>
      </c>
      <c r="J222" s="106" t="s">
        <v>91</v>
      </c>
      <c r="K222" s="83" t="s">
        <v>263</v>
      </c>
    </row>
    <row r="223" spans="1:11" s="39" customFormat="1" x14ac:dyDescent="0.25">
      <c r="A223" s="81"/>
      <c r="B223" s="81"/>
      <c r="C223" s="37" t="s">
        <v>14</v>
      </c>
      <c r="D223" s="57">
        <v>0</v>
      </c>
      <c r="E223" s="38">
        <v>0</v>
      </c>
      <c r="F223" s="38"/>
      <c r="G223" s="97"/>
      <c r="H223" s="97"/>
      <c r="I223" s="104"/>
      <c r="J223" s="107"/>
      <c r="K223" s="84"/>
    </row>
    <row r="224" spans="1:11" s="39" customFormat="1" x14ac:dyDescent="0.25">
      <c r="A224" s="81"/>
      <c r="B224" s="81"/>
      <c r="C224" s="37" t="s">
        <v>16</v>
      </c>
      <c r="D224" s="63">
        <v>1252.8</v>
      </c>
      <c r="E224" s="40">
        <v>260.2</v>
      </c>
      <c r="F224" s="38">
        <f>E224/D224*100</f>
        <v>20.769476372924647</v>
      </c>
      <c r="G224" s="97"/>
      <c r="H224" s="97"/>
      <c r="I224" s="104"/>
      <c r="J224" s="107"/>
      <c r="K224" s="84"/>
    </row>
    <row r="225" spans="1:11" s="39" customFormat="1" x14ac:dyDescent="0.25">
      <c r="A225" s="81"/>
      <c r="B225" s="81"/>
      <c r="C225" s="37" t="s">
        <v>15</v>
      </c>
      <c r="D225" s="64">
        <v>0</v>
      </c>
      <c r="E225" s="38">
        <v>0</v>
      </c>
      <c r="F225" s="38"/>
      <c r="G225" s="97"/>
      <c r="H225" s="97"/>
      <c r="I225" s="104"/>
      <c r="J225" s="107"/>
      <c r="K225" s="84"/>
    </row>
    <row r="226" spans="1:11" s="39" customFormat="1" ht="102" customHeight="1" x14ac:dyDescent="0.25">
      <c r="A226" s="82"/>
      <c r="B226" s="82"/>
      <c r="C226" s="37" t="s">
        <v>17</v>
      </c>
      <c r="D226" s="57">
        <v>0</v>
      </c>
      <c r="E226" s="38">
        <v>0</v>
      </c>
      <c r="F226" s="38"/>
      <c r="G226" s="98"/>
      <c r="H226" s="98"/>
      <c r="I226" s="105"/>
      <c r="J226" s="108"/>
      <c r="K226" s="85"/>
    </row>
    <row r="227" spans="1:11" s="12" customFormat="1" ht="13.9" customHeight="1" x14ac:dyDescent="0.25">
      <c r="A227" s="90" t="s">
        <v>73</v>
      </c>
      <c r="B227" s="90" t="s">
        <v>158</v>
      </c>
      <c r="C227" s="4" t="s">
        <v>13</v>
      </c>
      <c r="D227" s="61">
        <f t="shared" ref="D227" si="52">SUM(D228:D231)</f>
        <v>7000</v>
      </c>
      <c r="E227" s="24">
        <f>E228+E229+E230+E231</f>
        <v>1100.9000000000001</v>
      </c>
      <c r="F227" s="24">
        <f>E227/D227*100</f>
        <v>15.727142857142859</v>
      </c>
      <c r="G227" s="113"/>
      <c r="H227" s="9" t="s">
        <v>18</v>
      </c>
      <c r="I227" s="23">
        <f>I232</f>
        <v>2</v>
      </c>
      <c r="J227" s="113" t="s">
        <v>165</v>
      </c>
      <c r="K227" s="113"/>
    </row>
    <row r="228" spans="1:11" s="12" customFormat="1" x14ac:dyDescent="0.25">
      <c r="A228" s="91"/>
      <c r="B228" s="91"/>
      <c r="C228" s="4" t="s">
        <v>14</v>
      </c>
      <c r="D228" s="61">
        <f>D233</f>
        <v>7000</v>
      </c>
      <c r="E228" s="24">
        <f>E233</f>
        <v>1100.9000000000001</v>
      </c>
      <c r="F228" s="24">
        <f>E228/D228*100</f>
        <v>15.727142857142859</v>
      </c>
      <c r="G228" s="114"/>
      <c r="H228" s="9" t="s">
        <v>19</v>
      </c>
      <c r="I228" s="23">
        <f>I233</f>
        <v>0</v>
      </c>
      <c r="J228" s="114"/>
      <c r="K228" s="114"/>
    </row>
    <row r="229" spans="1:11" s="12" customFormat="1" x14ac:dyDescent="0.25">
      <c r="A229" s="91"/>
      <c r="B229" s="91"/>
      <c r="C229" s="4" t="s">
        <v>16</v>
      </c>
      <c r="D229" s="61">
        <f t="shared" ref="D229" si="53">D234</f>
        <v>0</v>
      </c>
      <c r="E229" s="24">
        <f t="shared" ref="E229:E231" si="54">E234</f>
        <v>0</v>
      </c>
      <c r="F229" s="24" t="e">
        <f>E229/D229*100</f>
        <v>#DIV/0!</v>
      </c>
      <c r="G229" s="114"/>
      <c r="H229" s="9" t="s">
        <v>20</v>
      </c>
      <c r="I229" s="23">
        <f>I234</f>
        <v>2</v>
      </c>
      <c r="J229" s="114"/>
      <c r="K229" s="114"/>
    </row>
    <row r="230" spans="1:11" s="12" customFormat="1" x14ac:dyDescent="0.25">
      <c r="A230" s="91"/>
      <c r="B230" s="91"/>
      <c r="C230" s="4" t="s">
        <v>15</v>
      </c>
      <c r="D230" s="61">
        <v>0</v>
      </c>
      <c r="E230" s="24">
        <f t="shared" si="54"/>
        <v>0</v>
      </c>
      <c r="F230" s="24"/>
      <c r="G230" s="114"/>
      <c r="H230" s="9" t="s">
        <v>21</v>
      </c>
      <c r="I230" s="23">
        <f>I235</f>
        <v>0</v>
      </c>
      <c r="J230" s="114"/>
      <c r="K230" s="114"/>
    </row>
    <row r="231" spans="1:11" s="12" customFormat="1" ht="36" customHeight="1" x14ac:dyDescent="0.25">
      <c r="A231" s="92"/>
      <c r="B231" s="92"/>
      <c r="C231" s="4" t="s">
        <v>17</v>
      </c>
      <c r="D231" s="61">
        <v>0</v>
      </c>
      <c r="E231" s="24">
        <f t="shared" si="54"/>
        <v>0</v>
      </c>
      <c r="F231" s="24"/>
      <c r="G231" s="115"/>
      <c r="H231" s="9" t="s">
        <v>22</v>
      </c>
      <c r="I231" s="7">
        <f>I228/I227*100</f>
        <v>0</v>
      </c>
      <c r="J231" s="115"/>
      <c r="K231" s="115"/>
    </row>
    <row r="232" spans="1:11" ht="15" customHeight="1" x14ac:dyDescent="0.25">
      <c r="A232" s="86" t="s">
        <v>32</v>
      </c>
      <c r="B232" s="86" t="s">
        <v>240</v>
      </c>
      <c r="C232" s="5" t="s">
        <v>13</v>
      </c>
      <c r="D232" s="61">
        <f t="shared" ref="D232" si="55">SUM(D233:D236)</f>
        <v>7000</v>
      </c>
      <c r="E232" s="31">
        <f>E233+E234+E235+E236</f>
        <v>1100.9000000000001</v>
      </c>
      <c r="F232" s="31">
        <f>E232/D232*100</f>
        <v>15.727142857142859</v>
      </c>
      <c r="G232" s="99"/>
      <c r="H232" s="8" t="s">
        <v>18</v>
      </c>
      <c r="I232" s="2">
        <f>COUNTA(I237:I266)</f>
        <v>2</v>
      </c>
      <c r="J232" s="99" t="s">
        <v>165</v>
      </c>
      <c r="K232" s="99"/>
    </row>
    <row r="233" spans="1:11" x14ac:dyDescent="0.25">
      <c r="A233" s="87"/>
      <c r="B233" s="87"/>
      <c r="C233" s="5" t="s">
        <v>14</v>
      </c>
      <c r="D233" s="61">
        <f>D238+D243+D248+D253+D258+D263</f>
        <v>7000</v>
      </c>
      <c r="E233" s="31">
        <f>E238+E243+E248+E253+E258+E263</f>
        <v>1100.9000000000001</v>
      </c>
      <c r="F233" s="31">
        <f>E233/D233*100</f>
        <v>15.727142857142859</v>
      </c>
      <c r="G233" s="100"/>
      <c r="H233" s="8" t="s">
        <v>19</v>
      </c>
      <c r="I233" s="2">
        <f>COUNTIF(I237:I266,"да")</f>
        <v>0</v>
      </c>
      <c r="J233" s="100"/>
      <c r="K233" s="100"/>
    </row>
    <row r="234" spans="1:11" x14ac:dyDescent="0.25">
      <c r="A234" s="87"/>
      <c r="B234" s="87"/>
      <c r="C234" s="5" t="s">
        <v>16</v>
      </c>
      <c r="D234" s="65">
        <f t="shared" ref="D234" si="56">D239+D244+D249+D254+D259+D264</f>
        <v>0</v>
      </c>
      <c r="E234" s="31">
        <f>E239+E244+E249+E254+E259+E264</f>
        <v>0</v>
      </c>
      <c r="F234" s="31" t="e">
        <f>E234/D234*100</f>
        <v>#DIV/0!</v>
      </c>
      <c r="G234" s="100"/>
      <c r="H234" s="8" t="s">
        <v>20</v>
      </c>
      <c r="I234" s="2">
        <f>COUNTIF(I237:I266,"частично")</f>
        <v>2</v>
      </c>
      <c r="J234" s="100"/>
      <c r="K234" s="100"/>
    </row>
    <row r="235" spans="1:11" x14ac:dyDescent="0.25">
      <c r="A235" s="87"/>
      <c r="B235" s="87"/>
      <c r="C235" s="5" t="s">
        <v>15</v>
      </c>
      <c r="D235" s="65">
        <v>0</v>
      </c>
      <c r="E235" s="31">
        <f t="shared" ref="E235:E236" si="57">E240+E245+E250+E255+E260+E265</f>
        <v>0</v>
      </c>
      <c r="F235" s="31"/>
      <c r="G235" s="100"/>
      <c r="H235" s="8" t="s">
        <v>21</v>
      </c>
      <c r="I235" s="2">
        <f>COUNTIF(I237:I266,"нет")</f>
        <v>0</v>
      </c>
      <c r="J235" s="100"/>
      <c r="K235" s="100"/>
    </row>
    <row r="236" spans="1:11" ht="57.6" customHeight="1" x14ac:dyDescent="0.25">
      <c r="A236" s="88"/>
      <c r="B236" s="88"/>
      <c r="C236" s="5" t="s">
        <v>17</v>
      </c>
      <c r="D236" s="65">
        <v>0</v>
      </c>
      <c r="E236" s="31">
        <f t="shared" si="57"/>
        <v>0</v>
      </c>
      <c r="F236" s="31"/>
      <c r="G236" s="101"/>
      <c r="H236" s="8" t="s">
        <v>22</v>
      </c>
      <c r="I236" s="3">
        <f>I233/I232*100</f>
        <v>0</v>
      </c>
      <c r="J236" s="101"/>
      <c r="K236" s="101"/>
    </row>
    <row r="237" spans="1:11" ht="15" customHeight="1" x14ac:dyDescent="0.25">
      <c r="A237" s="80" t="s">
        <v>33</v>
      </c>
      <c r="B237" s="80" t="s">
        <v>153</v>
      </c>
      <c r="C237" s="37" t="s">
        <v>13</v>
      </c>
      <c r="D237" s="61">
        <f>D238+D239+D240</f>
        <v>1000</v>
      </c>
      <c r="E237" s="38">
        <f>E238+E239+E240+E241</f>
        <v>651.6</v>
      </c>
      <c r="F237" s="38">
        <f>E237/D237*100</f>
        <v>65.160000000000011</v>
      </c>
      <c r="G237" s="93" t="s">
        <v>248</v>
      </c>
      <c r="H237" s="93" t="s">
        <v>301</v>
      </c>
      <c r="I237" s="102" t="s">
        <v>246</v>
      </c>
      <c r="J237" s="109" t="s">
        <v>88</v>
      </c>
      <c r="K237" s="93"/>
    </row>
    <row r="238" spans="1:11" x14ac:dyDescent="0.25">
      <c r="A238" s="81"/>
      <c r="B238" s="81"/>
      <c r="C238" s="37" t="s">
        <v>14</v>
      </c>
      <c r="D238" s="61">
        <v>1000</v>
      </c>
      <c r="E238" s="40">
        <v>651.6</v>
      </c>
      <c r="F238" s="38">
        <f>E238/D238*100</f>
        <v>65.160000000000011</v>
      </c>
      <c r="G238" s="93"/>
      <c r="H238" s="93"/>
      <c r="I238" s="102"/>
      <c r="J238" s="109"/>
      <c r="K238" s="93"/>
    </row>
    <row r="239" spans="1:11" x14ac:dyDescent="0.25">
      <c r="A239" s="81"/>
      <c r="B239" s="81"/>
      <c r="C239" s="37" t="s">
        <v>16</v>
      </c>
      <c r="D239" s="61">
        <v>0</v>
      </c>
      <c r="E239" s="38">
        <v>0</v>
      </c>
      <c r="F239" s="38"/>
      <c r="G239" s="93"/>
      <c r="H239" s="93"/>
      <c r="I239" s="102"/>
      <c r="J239" s="109"/>
      <c r="K239" s="93"/>
    </row>
    <row r="240" spans="1:11" x14ac:dyDescent="0.25">
      <c r="A240" s="81"/>
      <c r="B240" s="81"/>
      <c r="C240" s="37" t="s">
        <v>15</v>
      </c>
      <c r="D240" s="61">
        <v>0</v>
      </c>
      <c r="E240" s="38">
        <v>0</v>
      </c>
      <c r="F240" s="38"/>
      <c r="G240" s="93"/>
      <c r="H240" s="93"/>
      <c r="I240" s="102"/>
      <c r="J240" s="109"/>
      <c r="K240" s="93"/>
    </row>
    <row r="241" spans="1:11" ht="153.75" customHeight="1" x14ac:dyDescent="0.25">
      <c r="A241" s="82"/>
      <c r="B241" s="82"/>
      <c r="C241" s="37" t="s">
        <v>17</v>
      </c>
      <c r="D241" s="65">
        <v>0</v>
      </c>
      <c r="E241" s="38">
        <v>0</v>
      </c>
      <c r="F241" s="38"/>
      <c r="G241" s="93"/>
      <c r="H241" s="93"/>
      <c r="I241" s="102"/>
      <c r="J241" s="109"/>
      <c r="K241" s="93"/>
    </row>
    <row r="242" spans="1:11" ht="15" customHeight="1" x14ac:dyDescent="0.25">
      <c r="A242" s="80" t="s">
        <v>34</v>
      </c>
      <c r="B242" s="80" t="s">
        <v>154</v>
      </c>
      <c r="C242" s="37" t="s">
        <v>13</v>
      </c>
      <c r="D242" s="54">
        <v>0</v>
      </c>
      <c r="E242" s="38">
        <f>E243+E244+E245+E246</f>
        <v>0</v>
      </c>
      <c r="F242" s="38"/>
      <c r="G242" s="83"/>
      <c r="H242" s="83"/>
      <c r="I242" s="102"/>
      <c r="J242" s="106" t="s">
        <v>93</v>
      </c>
      <c r="K242" s="83"/>
    </row>
    <row r="243" spans="1:11" x14ac:dyDescent="0.25">
      <c r="A243" s="81"/>
      <c r="B243" s="81"/>
      <c r="C243" s="37" t="s">
        <v>14</v>
      </c>
      <c r="D243" s="54">
        <v>0</v>
      </c>
      <c r="E243" s="40"/>
      <c r="F243" s="38"/>
      <c r="G243" s="84"/>
      <c r="H243" s="84"/>
      <c r="I243" s="102"/>
      <c r="J243" s="107"/>
      <c r="K243" s="84"/>
    </row>
    <row r="244" spans="1:11" x14ac:dyDescent="0.25">
      <c r="A244" s="81"/>
      <c r="B244" s="81"/>
      <c r="C244" s="37" t="s">
        <v>16</v>
      </c>
      <c r="D244" s="66">
        <v>0</v>
      </c>
      <c r="E244" s="38">
        <v>0</v>
      </c>
      <c r="F244" s="38"/>
      <c r="G244" s="84"/>
      <c r="H244" s="84"/>
      <c r="I244" s="102"/>
      <c r="J244" s="107"/>
      <c r="K244" s="84"/>
    </row>
    <row r="245" spans="1:11" x14ac:dyDescent="0.25">
      <c r="A245" s="81"/>
      <c r="B245" s="81"/>
      <c r="C245" s="37" t="s">
        <v>15</v>
      </c>
      <c r="D245" s="61">
        <v>0</v>
      </c>
      <c r="E245" s="38">
        <v>0</v>
      </c>
      <c r="F245" s="38"/>
      <c r="G245" s="84"/>
      <c r="H245" s="84"/>
      <c r="I245" s="102"/>
      <c r="J245" s="107"/>
      <c r="K245" s="84"/>
    </row>
    <row r="246" spans="1:11" ht="87" customHeight="1" x14ac:dyDescent="0.25">
      <c r="A246" s="82"/>
      <c r="B246" s="82"/>
      <c r="C246" s="37" t="s">
        <v>17</v>
      </c>
      <c r="D246" s="65">
        <v>0</v>
      </c>
      <c r="E246" s="38">
        <v>0</v>
      </c>
      <c r="F246" s="38"/>
      <c r="G246" s="85"/>
      <c r="H246" s="85"/>
      <c r="I246" s="102"/>
      <c r="J246" s="108"/>
      <c r="K246" s="85"/>
    </row>
    <row r="247" spans="1:11" ht="15" customHeight="1" x14ac:dyDescent="0.25">
      <c r="A247" s="80" t="s">
        <v>149</v>
      </c>
      <c r="B247" s="80" t="s">
        <v>241</v>
      </c>
      <c r="C247" s="37" t="s">
        <v>13</v>
      </c>
      <c r="D247" s="61">
        <f t="shared" ref="D247" si="58">SUM(D248:D251)</f>
        <v>6000</v>
      </c>
      <c r="E247" s="38">
        <f>E248+E249+E250+E251</f>
        <v>449.3</v>
      </c>
      <c r="F247" s="38">
        <f>E247/D247*100</f>
        <v>7.4883333333333333</v>
      </c>
      <c r="G247" s="93" t="s">
        <v>266</v>
      </c>
      <c r="H247" s="93" t="s">
        <v>267</v>
      </c>
      <c r="I247" s="102" t="s">
        <v>246</v>
      </c>
      <c r="J247" s="109" t="s">
        <v>90</v>
      </c>
      <c r="K247" s="93" t="s">
        <v>302</v>
      </c>
    </row>
    <row r="248" spans="1:11" x14ac:dyDescent="0.25">
      <c r="A248" s="81"/>
      <c r="B248" s="81"/>
      <c r="C248" s="37" t="s">
        <v>14</v>
      </c>
      <c r="D248" s="61">
        <v>6000</v>
      </c>
      <c r="E248" s="40">
        <v>449.3</v>
      </c>
      <c r="F248" s="38">
        <f>E248/D248*100</f>
        <v>7.4883333333333333</v>
      </c>
      <c r="G248" s="93"/>
      <c r="H248" s="93"/>
      <c r="I248" s="102"/>
      <c r="J248" s="109"/>
      <c r="K248" s="93"/>
    </row>
    <row r="249" spans="1:11" x14ac:dyDescent="0.25">
      <c r="A249" s="81"/>
      <c r="B249" s="81"/>
      <c r="C249" s="37" t="s">
        <v>16</v>
      </c>
      <c r="D249" s="61">
        <v>0</v>
      </c>
      <c r="E249" s="38">
        <v>0</v>
      </c>
      <c r="F249" s="38"/>
      <c r="G249" s="93"/>
      <c r="H249" s="93"/>
      <c r="I249" s="102"/>
      <c r="J249" s="109"/>
      <c r="K249" s="93"/>
    </row>
    <row r="250" spans="1:11" x14ac:dyDescent="0.25">
      <c r="A250" s="81"/>
      <c r="B250" s="81"/>
      <c r="C250" s="37" t="s">
        <v>15</v>
      </c>
      <c r="D250" s="61">
        <v>0</v>
      </c>
      <c r="E250" s="38">
        <v>0</v>
      </c>
      <c r="F250" s="38"/>
      <c r="G250" s="93"/>
      <c r="H250" s="93"/>
      <c r="I250" s="102"/>
      <c r="J250" s="109"/>
      <c r="K250" s="93"/>
    </row>
    <row r="251" spans="1:11" ht="409.5" customHeight="1" x14ac:dyDescent="0.25">
      <c r="A251" s="82"/>
      <c r="B251" s="82"/>
      <c r="C251" s="37" t="s">
        <v>17</v>
      </c>
      <c r="D251" s="65">
        <v>0</v>
      </c>
      <c r="E251" s="38">
        <v>0</v>
      </c>
      <c r="F251" s="38"/>
      <c r="G251" s="93"/>
      <c r="H251" s="93"/>
      <c r="I251" s="102"/>
      <c r="J251" s="109"/>
      <c r="K251" s="93"/>
    </row>
    <row r="252" spans="1:11" ht="15" customHeight="1" x14ac:dyDescent="0.25">
      <c r="A252" s="80" t="s">
        <v>150</v>
      </c>
      <c r="B252" s="80" t="s">
        <v>155</v>
      </c>
      <c r="C252" s="37" t="s">
        <v>13</v>
      </c>
      <c r="D252" s="61">
        <f>D253+D254</f>
        <v>0</v>
      </c>
      <c r="E252" s="38">
        <f>E253+E254+E255+E256</f>
        <v>0</v>
      </c>
      <c r="F252" s="38"/>
      <c r="G252" s="83"/>
      <c r="H252" s="83"/>
      <c r="I252" s="102"/>
      <c r="J252" s="106" t="s">
        <v>24</v>
      </c>
      <c r="K252" s="83"/>
    </row>
    <row r="253" spans="1:11" x14ac:dyDescent="0.25">
      <c r="A253" s="81"/>
      <c r="B253" s="81"/>
      <c r="C253" s="37" t="s">
        <v>14</v>
      </c>
      <c r="D253" s="61">
        <v>0</v>
      </c>
      <c r="E253" s="40"/>
      <c r="F253" s="38"/>
      <c r="G253" s="84"/>
      <c r="H253" s="84"/>
      <c r="I253" s="102"/>
      <c r="J253" s="107"/>
      <c r="K253" s="84"/>
    </row>
    <row r="254" spans="1:11" x14ac:dyDescent="0.25">
      <c r="A254" s="81"/>
      <c r="B254" s="81"/>
      <c r="C254" s="37" t="s">
        <v>16</v>
      </c>
      <c r="D254" s="61">
        <v>0</v>
      </c>
      <c r="E254" s="38">
        <v>0</v>
      </c>
      <c r="F254" s="38"/>
      <c r="G254" s="84"/>
      <c r="H254" s="84"/>
      <c r="I254" s="102"/>
      <c r="J254" s="107"/>
      <c r="K254" s="84"/>
    </row>
    <row r="255" spans="1:11" x14ac:dyDescent="0.25">
      <c r="A255" s="81"/>
      <c r="B255" s="81"/>
      <c r="C255" s="37" t="s">
        <v>15</v>
      </c>
      <c r="D255" s="61">
        <v>0</v>
      </c>
      <c r="E255" s="38">
        <v>0</v>
      </c>
      <c r="F255" s="38"/>
      <c r="G255" s="84"/>
      <c r="H255" s="84"/>
      <c r="I255" s="102"/>
      <c r="J255" s="107"/>
      <c r="K255" s="84"/>
    </row>
    <row r="256" spans="1:11" x14ac:dyDescent="0.25">
      <c r="A256" s="82"/>
      <c r="B256" s="82"/>
      <c r="C256" s="37" t="s">
        <v>17</v>
      </c>
      <c r="D256" s="65">
        <v>0</v>
      </c>
      <c r="E256" s="38">
        <v>0</v>
      </c>
      <c r="F256" s="38"/>
      <c r="G256" s="85"/>
      <c r="H256" s="85"/>
      <c r="I256" s="102"/>
      <c r="J256" s="108"/>
      <c r="K256" s="85"/>
    </row>
    <row r="257" spans="1:11" s="39" customFormat="1" ht="15" customHeight="1" x14ac:dyDescent="0.25">
      <c r="A257" s="80" t="s">
        <v>151</v>
      </c>
      <c r="B257" s="80" t="s">
        <v>156</v>
      </c>
      <c r="C257" s="37" t="s">
        <v>13</v>
      </c>
      <c r="D257" s="65">
        <f t="shared" ref="D257" si="59">SUM(D258:D261)</f>
        <v>0</v>
      </c>
      <c r="E257" s="38">
        <f>E258+E259+E260+E261</f>
        <v>0</v>
      </c>
      <c r="F257" s="38"/>
      <c r="G257" s="83"/>
      <c r="H257" s="83"/>
      <c r="I257" s="102"/>
      <c r="J257" s="109" t="s">
        <v>90</v>
      </c>
      <c r="K257" s="83"/>
    </row>
    <row r="258" spans="1:11" s="39" customFormat="1" x14ac:dyDescent="0.25">
      <c r="A258" s="81"/>
      <c r="B258" s="81"/>
      <c r="C258" s="37" t="s">
        <v>14</v>
      </c>
      <c r="D258" s="65">
        <v>0</v>
      </c>
      <c r="E258" s="38">
        <v>0</v>
      </c>
      <c r="F258" s="38"/>
      <c r="G258" s="84"/>
      <c r="H258" s="84"/>
      <c r="I258" s="102"/>
      <c r="J258" s="109"/>
      <c r="K258" s="84"/>
    </row>
    <row r="259" spans="1:11" s="39" customFormat="1" x14ac:dyDescent="0.25">
      <c r="A259" s="81"/>
      <c r="B259" s="81"/>
      <c r="C259" s="37" t="s">
        <v>16</v>
      </c>
      <c r="D259" s="65">
        <v>0</v>
      </c>
      <c r="E259" s="40"/>
      <c r="F259" s="38"/>
      <c r="G259" s="84"/>
      <c r="H259" s="84"/>
      <c r="I259" s="102"/>
      <c r="J259" s="109"/>
      <c r="K259" s="84"/>
    </row>
    <row r="260" spans="1:11" s="39" customFormat="1" x14ac:dyDescent="0.25">
      <c r="A260" s="81"/>
      <c r="B260" s="81"/>
      <c r="C260" s="37" t="s">
        <v>15</v>
      </c>
      <c r="D260" s="65">
        <v>0</v>
      </c>
      <c r="E260" s="38">
        <v>0</v>
      </c>
      <c r="F260" s="38"/>
      <c r="G260" s="84"/>
      <c r="H260" s="84"/>
      <c r="I260" s="102"/>
      <c r="J260" s="109"/>
      <c r="K260" s="84"/>
    </row>
    <row r="261" spans="1:11" s="39" customFormat="1" x14ac:dyDescent="0.25">
      <c r="A261" s="82"/>
      <c r="B261" s="82"/>
      <c r="C261" s="37" t="s">
        <v>17</v>
      </c>
      <c r="D261" s="65">
        <v>0</v>
      </c>
      <c r="E261" s="38">
        <v>0</v>
      </c>
      <c r="F261" s="38"/>
      <c r="G261" s="84"/>
      <c r="H261" s="84"/>
      <c r="I261" s="102"/>
      <c r="J261" s="109"/>
      <c r="K261" s="84"/>
    </row>
    <row r="262" spans="1:11" s="39" customFormat="1" ht="15" customHeight="1" x14ac:dyDescent="0.25">
      <c r="A262" s="80" t="s">
        <v>152</v>
      </c>
      <c r="B262" s="80" t="s">
        <v>157</v>
      </c>
      <c r="C262" s="37" t="s">
        <v>13</v>
      </c>
      <c r="D262" s="65">
        <f t="shared" ref="D262" si="60">SUM(D263:D266)</f>
        <v>0</v>
      </c>
      <c r="E262" s="38">
        <f>E263+E264+E265+E266</f>
        <v>0</v>
      </c>
      <c r="F262" s="38"/>
      <c r="G262" s="94"/>
      <c r="H262" s="94"/>
      <c r="I262" s="102"/>
      <c r="J262" s="106" t="s">
        <v>90</v>
      </c>
      <c r="K262" s="137"/>
    </row>
    <row r="263" spans="1:11" s="39" customFormat="1" x14ac:dyDescent="0.25">
      <c r="A263" s="81"/>
      <c r="B263" s="81"/>
      <c r="C263" s="37" t="s">
        <v>14</v>
      </c>
      <c r="D263" s="65">
        <v>0</v>
      </c>
      <c r="E263" s="40"/>
      <c r="F263" s="38"/>
      <c r="G263" s="94"/>
      <c r="H263" s="94"/>
      <c r="I263" s="102"/>
      <c r="J263" s="107"/>
      <c r="K263" s="137"/>
    </row>
    <row r="264" spans="1:11" s="39" customFormat="1" x14ac:dyDescent="0.25">
      <c r="A264" s="81"/>
      <c r="B264" s="81"/>
      <c r="C264" s="37" t="s">
        <v>16</v>
      </c>
      <c r="D264" s="65">
        <v>0</v>
      </c>
      <c r="E264" s="38">
        <v>0</v>
      </c>
      <c r="F264" s="38"/>
      <c r="G264" s="94"/>
      <c r="H264" s="94"/>
      <c r="I264" s="102"/>
      <c r="J264" s="107"/>
      <c r="K264" s="137"/>
    </row>
    <row r="265" spans="1:11" s="39" customFormat="1" x14ac:dyDescent="0.25">
      <c r="A265" s="81"/>
      <c r="B265" s="81"/>
      <c r="C265" s="37" t="s">
        <v>15</v>
      </c>
      <c r="D265" s="65">
        <v>0</v>
      </c>
      <c r="E265" s="38">
        <v>0</v>
      </c>
      <c r="F265" s="38"/>
      <c r="G265" s="94"/>
      <c r="H265" s="94"/>
      <c r="I265" s="102"/>
      <c r="J265" s="107"/>
      <c r="K265" s="137"/>
    </row>
    <row r="266" spans="1:11" s="39" customFormat="1" ht="57.75" customHeight="1" x14ac:dyDescent="0.25">
      <c r="A266" s="82"/>
      <c r="B266" s="82"/>
      <c r="C266" s="37" t="s">
        <v>17</v>
      </c>
      <c r="D266" s="65">
        <v>0</v>
      </c>
      <c r="E266" s="38">
        <v>0</v>
      </c>
      <c r="F266" s="38"/>
      <c r="G266" s="95"/>
      <c r="H266" s="95"/>
      <c r="I266" s="102"/>
      <c r="J266" s="108"/>
      <c r="K266" s="138"/>
    </row>
    <row r="267" spans="1:11" s="12" customFormat="1" ht="15" customHeight="1" x14ac:dyDescent="0.2">
      <c r="A267" s="90" t="s">
        <v>76</v>
      </c>
      <c r="B267" s="90" t="s">
        <v>242</v>
      </c>
      <c r="C267" s="4" t="s">
        <v>13</v>
      </c>
      <c r="D267" s="67">
        <f t="shared" ref="D267" si="61">SUM(D268:D271)</f>
        <v>40928.699999999997</v>
      </c>
      <c r="E267" s="24">
        <f>E268+E269+E270+E271</f>
        <v>18316.3</v>
      </c>
      <c r="F267" s="24">
        <f>E267/D267*100</f>
        <v>44.751726783406262</v>
      </c>
      <c r="G267" s="113"/>
      <c r="H267" s="9" t="s">
        <v>18</v>
      </c>
      <c r="I267" s="23">
        <f>I272</f>
        <v>5</v>
      </c>
      <c r="J267" s="136" t="s">
        <v>24</v>
      </c>
      <c r="K267" s="113"/>
    </row>
    <row r="268" spans="1:11" s="12" customFormat="1" x14ac:dyDescent="0.2">
      <c r="A268" s="91"/>
      <c r="B268" s="91"/>
      <c r="C268" s="4" t="s">
        <v>14</v>
      </c>
      <c r="D268" s="67">
        <f t="shared" ref="D268" si="62">D273</f>
        <v>34385</v>
      </c>
      <c r="E268" s="24">
        <f>E273</f>
        <v>15314.2</v>
      </c>
      <c r="F268" s="24">
        <f>E268/D268*100</f>
        <v>44.537443652755563</v>
      </c>
      <c r="G268" s="114"/>
      <c r="H268" s="9" t="s">
        <v>19</v>
      </c>
      <c r="I268" s="23">
        <f>I273</f>
        <v>0</v>
      </c>
      <c r="J268" s="136"/>
      <c r="K268" s="114"/>
    </row>
    <row r="269" spans="1:11" s="12" customFormat="1" x14ac:dyDescent="0.2">
      <c r="A269" s="91"/>
      <c r="B269" s="91"/>
      <c r="C269" s="4" t="s">
        <v>16</v>
      </c>
      <c r="D269" s="67">
        <f>D274</f>
        <v>6543.7</v>
      </c>
      <c r="E269" s="24">
        <f t="shared" ref="E269:E271" si="63">E274</f>
        <v>3002.1</v>
      </c>
      <c r="F269" s="24">
        <f>E269/D269*100</f>
        <v>45.877714442899276</v>
      </c>
      <c r="G269" s="114"/>
      <c r="H269" s="9" t="s">
        <v>20</v>
      </c>
      <c r="I269" s="23">
        <f>I274</f>
        <v>5</v>
      </c>
      <c r="J269" s="136"/>
      <c r="K269" s="114"/>
    </row>
    <row r="270" spans="1:11" s="12" customFormat="1" x14ac:dyDescent="0.2">
      <c r="A270" s="91"/>
      <c r="B270" s="91"/>
      <c r="C270" s="4" t="s">
        <v>15</v>
      </c>
      <c r="D270" s="68">
        <v>0</v>
      </c>
      <c r="E270" s="24">
        <f t="shared" si="63"/>
        <v>0</v>
      </c>
      <c r="F270" s="24"/>
      <c r="G270" s="114"/>
      <c r="H270" s="9" t="s">
        <v>21</v>
      </c>
      <c r="I270" s="23">
        <f>I275</f>
        <v>0</v>
      </c>
      <c r="J270" s="136"/>
      <c r="K270" s="114"/>
    </row>
    <row r="271" spans="1:11" s="12" customFormat="1" ht="50.25" customHeight="1" x14ac:dyDescent="0.2">
      <c r="A271" s="92"/>
      <c r="B271" s="92"/>
      <c r="C271" s="4" t="s">
        <v>17</v>
      </c>
      <c r="D271" s="68">
        <v>0</v>
      </c>
      <c r="E271" s="24">
        <f t="shared" si="63"/>
        <v>0</v>
      </c>
      <c r="F271" s="24"/>
      <c r="G271" s="115"/>
      <c r="H271" s="9" t="s">
        <v>22</v>
      </c>
      <c r="I271" s="7">
        <f>I268/I267*100</f>
        <v>0</v>
      </c>
      <c r="J271" s="136"/>
      <c r="K271" s="115"/>
    </row>
    <row r="272" spans="1:11" ht="15" customHeight="1" x14ac:dyDescent="0.25">
      <c r="A272" s="86" t="s">
        <v>77</v>
      </c>
      <c r="B272" s="86" t="s">
        <v>159</v>
      </c>
      <c r="C272" s="5" t="s">
        <v>13</v>
      </c>
      <c r="D272" s="67">
        <f t="shared" ref="D272" si="64">SUM(D273:D276)</f>
        <v>40928.699999999997</v>
      </c>
      <c r="E272" s="31">
        <f>E273+E274+E275+E276</f>
        <v>18316.3</v>
      </c>
      <c r="F272" s="31">
        <f>E272/D272*100</f>
        <v>44.751726783406262</v>
      </c>
      <c r="G272" s="89"/>
      <c r="H272" s="8" t="s">
        <v>18</v>
      </c>
      <c r="I272" s="2">
        <f>COUNTA(I277:I301)</f>
        <v>5</v>
      </c>
      <c r="J272" s="99" t="s">
        <v>24</v>
      </c>
      <c r="K272" s="99"/>
    </row>
    <row r="273" spans="1:11" x14ac:dyDescent="0.25">
      <c r="A273" s="87"/>
      <c r="B273" s="87"/>
      <c r="C273" s="5" t="s">
        <v>14</v>
      </c>
      <c r="D273" s="67">
        <f>D278+D283+D288+D293+D298</f>
        <v>34385</v>
      </c>
      <c r="E273" s="31">
        <f>E278+E283+E288+E293+E298</f>
        <v>15314.2</v>
      </c>
      <c r="F273" s="31">
        <f>E273/D273*100</f>
        <v>44.537443652755563</v>
      </c>
      <c r="G273" s="89"/>
      <c r="H273" s="8" t="s">
        <v>19</v>
      </c>
      <c r="I273" s="2">
        <f>COUNTIF(I277:I301,"да")</f>
        <v>0</v>
      </c>
      <c r="J273" s="100"/>
      <c r="K273" s="100"/>
    </row>
    <row r="274" spans="1:11" x14ac:dyDescent="0.25">
      <c r="A274" s="87"/>
      <c r="B274" s="87"/>
      <c r="C274" s="5" t="s">
        <v>16</v>
      </c>
      <c r="D274" s="67">
        <f>D279+D284+D289+D294+D299</f>
        <v>6543.7</v>
      </c>
      <c r="E274" s="31">
        <f t="shared" ref="E274:E276" si="65">E279+E284+E289+E294+E299</f>
        <v>3002.1</v>
      </c>
      <c r="F274" s="31">
        <f>E274/D274*100</f>
        <v>45.877714442899276</v>
      </c>
      <c r="G274" s="89"/>
      <c r="H274" s="8" t="s">
        <v>20</v>
      </c>
      <c r="I274" s="2">
        <f>COUNTIF(I277:I301,"частично")</f>
        <v>5</v>
      </c>
      <c r="J274" s="100"/>
      <c r="K274" s="100"/>
    </row>
    <row r="275" spans="1:11" x14ac:dyDescent="0.25">
      <c r="A275" s="87"/>
      <c r="B275" s="87"/>
      <c r="C275" s="5" t="s">
        <v>15</v>
      </c>
      <c r="D275" s="68">
        <f t="shared" ref="D275:D276" si="66">D280+D285+D290+D295+D300</f>
        <v>0</v>
      </c>
      <c r="E275" s="31">
        <f t="shared" si="65"/>
        <v>0</v>
      </c>
      <c r="F275" s="31"/>
      <c r="G275" s="89"/>
      <c r="H275" s="8" t="s">
        <v>21</v>
      </c>
      <c r="I275" s="2">
        <f>COUNTIF(I277:I301,"нет")</f>
        <v>0</v>
      </c>
      <c r="J275" s="100"/>
      <c r="K275" s="100"/>
    </row>
    <row r="276" spans="1:11" ht="30" customHeight="1" x14ac:dyDescent="0.25">
      <c r="A276" s="88"/>
      <c r="B276" s="88"/>
      <c r="C276" s="5" t="s">
        <v>17</v>
      </c>
      <c r="D276" s="65">
        <f t="shared" si="66"/>
        <v>0</v>
      </c>
      <c r="E276" s="31">
        <f t="shared" si="65"/>
        <v>0</v>
      </c>
      <c r="F276" s="31"/>
      <c r="G276" s="89"/>
      <c r="H276" s="8" t="s">
        <v>22</v>
      </c>
      <c r="I276" s="3">
        <f>I273/I272*100</f>
        <v>0</v>
      </c>
      <c r="J276" s="101"/>
      <c r="K276" s="101"/>
    </row>
    <row r="277" spans="1:11" s="39" customFormat="1" ht="15" customHeight="1" x14ac:dyDescent="0.25">
      <c r="A277" s="80" t="s">
        <v>78</v>
      </c>
      <c r="B277" s="80" t="s">
        <v>81</v>
      </c>
      <c r="C277" s="37" t="s">
        <v>13</v>
      </c>
      <c r="D277" s="67">
        <f t="shared" ref="D277" si="67">SUM(D278:D281)</f>
        <v>33984</v>
      </c>
      <c r="E277" s="38">
        <f>E278+E279+E280+E281</f>
        <v>15079</v>
      </c>
      <c r="F277" s="38">
        <f>E277/D277*100</f>
        <v>44.370880414312616</v>
      </c>
      <c r="G277" s="83" t="s">
        <v>219</v>
      </c>
      <c r="H277" s="83" t="s">
        <v>219</v>
      </c>
      <c r="I277" s="102" t="s">
        <v>246</v>
      </c>
      <c r="J277" s="106" t="s">
        <v>24</v>
      </c>
      <c r="K277" s="83"/>
    </row>
    <row r="278" spans="1:11" s="39" customFormat="1" x14ac:dyDescent="0.25">
      <c r="A278" s="81"/>
      <c r="B278" s="81"/>
      <c r="C278" s="37" t="s">
        <v>14</v>
      </c>
      <c r="D278" s="67">
        <v>33984</v>
      </c>
      <c r="E278" s="40">
        <v>15079</v>
      </c>
      <c r="F278" s="38">
        <f>E278/D278*100</f>
        <v>44.370880414312616</v>
      </c>
      <c r="G278" s="84"/>
      <c r="H278" s="84"/>
      <c r="I278" s="102"/>
      <c r="J278" s="107"/>
      <c r="K278" s="84"/>
    </row>
    <row r="279" spans="1:11" s="39" customFormat="1" x14ac:dyDescent="0.25">
      <c r="A279" s="81"/>
      <c r="B279" s="81"/>
      <c r="C279" s="37" t="s">
        <v>16</v>
      </c>
      <c r="D279" s="68">
        <v>0</v>
      </c>
      <c r="E279" s="38">
        <v>0</v>
      </c>
      <c r="F279" s="38"/>
      <c r="G279" s="84"/>
      <c r="H279" s="84"/>
      <c r="I279" s="102"/>
      <c r="J279" s="107"/>
      <c r="K279" s="84"/>
    </row>
    <row r="280" spans="1:11" s="39" customFormat="1" x14ac:dyDescent="0.25">
      <c r="A280" s="81"/>
      <c r="B280" s="81"/>
      <c r="C280" s="37" t="s">
        <v>15</v>
      </c>
      <c r="D280" s="68">
        <v>0</v>
      </c>
      <c r="E280" s="38">
        <v>0</v>
      </c>
      <c r="F280" s="38"/>
      <c r="G280" s="84"/>
      <c r="H280" s="84"/>
      <c r="I280" s="102"/>
      <c r="J280" s="107"/>
      <c r="K280" s="84"/>
    </row>
    <row r="281" spans="1:11" s="39" customFormat="1" x14ac:dyDescent="0.25">
      <c r="A281" s="82"/>
      <c r="B281" s="82"/>
      <c r="C281" s="37" t="s">
        <v>17</v>
      </c>
      <c r="D281" s="68">
        <v>0</v>
      </c>
      <c r="E281" s="38">
        <v>0</v>
      </c>
      <c r="F281" s="38"/>
      <c r="G281" s="85"/>
      <c r="H281" s="85"/>
      <c r="I281" s="102"/>
      <c r="J281" s="108"/>
      <c r="K281" s="85"/>
    </row>
    <row r="282" spans="1:11" s="39" customFormat="1" ht="15" customHeight="1" x14ac:dyDescent="0.25">
      <c r="A282" s="80" t="s">
        <v>79</v>
      </c>
      <c r="B282" s="80" t="s">
        <v>82</v>
      </c>
      <c r="C282" s="37" t="s">
        <v>13</v>
      </c>
      <c r="D282" s="67">
        <f t="shared" ref="D282" si="68">SUM(D283:D286)</f>
        <v>401</v>
      </c>
      <c r="E282" s="38">
        <f>E283+E284+E285+E286</f>
        <v>235.2</v>
      </c>
      <c r="F282" s="38">
        <f t="shared" ref="F282:F289" si="69">E282/D282*100</f>
        <v>58.653366583541143</v>
      </c>
      <c r="G282" s="83" t="s">
        <v>227</v>
      </c>
      <c r="H282" s="83" t="s">
        <v>227</v>
      </c>
      <c r="I282" s="102" t="s">
        <v>246</v>
      </c>
      <c r="J282" s="106" t="s">
        <v>24</v>
      </c>
      <c r="K282" s="83"/>
    </row>
    <row r="283" spans="1:11" s="39" customFormat="1" x14ac:dyDescent="0.25">
      <c r="A283" s="81"/>
      <c r="B283" s="81"/>
      <c r="C283" s="37" t="s">
        <v>14</v>
      </c>
      <c r="D283" s="67">
        <v>401</v>
      </c>
      <c r="E283" s="40">
        <v>235.2</v>
      </c>
      <c r="F283" s="38">
        <f t="shared" si="69"/>
        <v>58.653366583541143</v>
      </c>
      <c r="G283" s="84"/>
      <c r="H283" s="84"/>
      <c r="I283" s="102"/>
      <c r="J283" s="107"/>
      <c r="K283" s="84"/>
    </row>
    <row r="284" spans="1:11" s="39" customFormat="1" x14ac:dyDescent="0.25">
      <c r="A284" s="81"/>
      <c r="B284" s="81"/>
      <c r="C284" s="37" t="s">
        <v>16</v>
      </c>
      <c r="D284" s="68">
        <v>0</v>
      </c>
      <c r="E284" s="38">
        <v>0</v>
      </c>
      <c r="F284" s="38"/>
      <c r="G284" s="84"/>
      <c r="H284" s="84"/>
      <c r="I284" s="102"/>
      <c r="J284" s="107"/>
      <c r="K284" s="84"/>
    </row>
    <row r="285" spans="1:11" s="39" customFormat="1" x14ac:dyDescent="0.25">
      <c r="A285" s="81"/>
      <c r="B285" s="81"/>
      <c r="C285" s="37" t="s">
        <v>15</v>
      </c>
      <c r="D285" s="68">
        <v>0</v>
      </c>
      <c r="E285" s="38">
        <v>0</v>
      </c>
      <c r="F285" s="38"/>
      <c r="G285" s="84"/>
      <c r="H285" s="84"/>
      <c r="I285" s="102"/>
      <c r="J285" s="107"/>
      <c r="K285" s="84"/>
    </row>
    <row r="286" spans="1:11" s="39" customFormat="1" ht="40.5" customHeight="1" x14ac:dyDescent="0.25">
      <c r="A286" s="82"/>
      <c r="B286" s="82"/>
      <c r="C286" s="37" t="s">
        <v>17</v>
      </c>
      <c r="D286" s="68">
        <v>0</v>
      </c>
      <c r="E286" s="38">
        <v>0</v>
      </c>
      <c r="F286" s="38"/>
      <c r="G286" s="85"/>
      <c r="H286" s="85"/>
      <c r="I286" s="102"/>
      <c r="J286" s="108"/>
      <c r="K286" s="85"/>
    </row>
    <row r="287" spans="1:11" s="39" customFormat="1" ht="15" customHeight="1" x14ac:dyDescent="0.25">
      <c r="A287" s="80" t="s">
        <v>80</v>
      </c>
      <c r="B287" s="80" t="s">
        <v>160</v>
      </c>
      <c r="C287" s="37" t="s">
        <v>13</v>
      </c>
      <c r="D287" s="67">
        <f t="shared" ref="D287" si="70">SUM(D288:D291)</f>
        <v>6185.7</v>
      </c>
      <c r="E287" s="38">
        <f>E288+E289+E290+E291</f>
        <v>2849.7</v>
      </c>
      <c r="F287" s="38">
        <f t="shared" si="69"/>
        <v>46.069159513070467</v>
      </c>
      <c r="G287" s="83" t="s">
        <v>220</v>
      </c>
      <c r="H287" s="83" t="s">
        <v>220</v>
      </c>
      <c r="I287" s="102" t="s">
        <v>246</v>
      </c>
      <c r="J287" s="106" t="s">
        <v>24</v>
      </c>
      <c r="K287" s="83"/>
    </row>
    <row r="288" spans="1:11" s="39" customFormat="1" x14ac:dyDescent="0.25">
      <c r="A288" s="81"/>
      <c r="B288" s="81"/>
      <c r="C288" s="37" t="s">
        <v>14</v>
      </c>
      <c r="D288" s="67">
        <v>0</v>
      </c>
      <c r="E288" s="42"/>
      <c r="F288" s="38"/>
      <c r="G288" s="84"/>
      <c r="H288" s="84"/>
      <c r="I288" s="102"/>
      <c r="J288" s="107"/>
      <c r="K288" s="84"/>
    </row>
    <row r="289" spans="1:11" s="39" customFormat="1" x14ac:dyDescent="0.25">
      <c r="A289" s="81"/>
      <c r="B289" s="81"/>
      <c r="C289" s="37" t="s">
        <v>16</v>
      </c>
      <c r="D289" s="67">
        <v>6185.7</v>
      </c>
      <c r="E289" s="40">
        <v>2849.7</v>
      </c>
      <c r="F289" s="38">
        <f t="shared" si="69"/>
        <v>46.069159513070467</v>
      </c>
      <c r="G289" s="84"/>
      <c r="H289" s="84"/>
      <c r="I289" s="102"/>
      <c r="J289" s="107"/>
      <c r="K289" s="84"/>
    </row>
    <row r="290" spans="1:11" s="39" customFormat="1" x14ac:dyDescent="0.25">
      <c r="A290" s="81"/>
      <c r="B290" s="81"/>
      <c r="C290" s="37" t="s">
        <v>15</v>
      </c>
      <c r="D290" s="68">
        <v>0</v>
      </c>
      <c r="E290" s="38">
        <v>0</v>
      </c>
      <c r="F290" s="38"/>
      <c r="G290" s="84"/>
      <c r="H290" s="84"/>
      <c r="I290" s="102"/>
      <c r="J290" s="107"/>
      <c r="K290" s="84"/>
    </row>
    <row r="291" spans="1:11" s="39" customFormat="1" ht="99" customHeight="1" x14ac:dyDescent="0.25">
      <c r="A291" s="82"/>
      <c r="B291" s="82"/>
      <c r="C291" s="37" t="s">
        <v>17</v>
      </c>
      <c r="D291" s="65">
        <v>0</v>
      </c>
      <c r="E291" s="38">
        <v>0</v>
      </c>
      <c r="F291" s="38"/>
      <c r="G291" s="85"/>
      <c r="H291" s="85"/>
      <c r="I291" s="102"/>
      <c r="J291" s="108"/>
      <c r="K291" s="85"/>
    </row>
    <row r="292" spans="1:11" ht="15" customHeight="1" x14ac:dyDescent="0.25">
      <c r="A292" s="80" t="s">
        <v>161</v>
      </c>
      <c r="B292" s="80" t="s">
        <v>163</v>
      </c>
      <c r="C292" s="37" t="s">
        <v>13</v>
      </c>
      <c r="D292" s="68">
        <f t="shared" ref="D292" si="71">SUM(D293:D296)</f>
        <v>102</v>
      </c>
      <c r="E292" s="38">
        <f>E293+E294+E295+E296</f>
        <v>46.8</v>
      </c>
      <c r="F292" s="38">
        <f>E292/D292*100</f>
        <v>45.882352941176471</v>
      </c>
      <c r="G292" s="83" t="s">
        <v>220</v>
      </c>
      <c r="H292" s="83" t="s">
        <v>220</v>
      </c>
      <c r="I292" s="102" t="s">
        <v>246</v>
      </c>
      <c r="J292" s="106" t="s">
        <v>24</v>
      </c>
      <c r="K292" s="83"/>
    </row>
    <row r="293" spans="1:11" x14ac:dyDescent="0.25">
      <c r="A293" s="81"/>
      <c r="B293" s="81"/>
      <c r="C293" s="37" t="s">
        <v>14</v>
      </c>
      <c r="D293" s="68">
        <v>0</v>
      </c>
      <c r="E293" s="38">
        <v>0</v>
      </c>
      <c r="F293" s="38"/>
      <c r="G293" s="84"/>
      <c r="H293" s="84"/>
      <c r="I293" s="102"/>
      <c r="J293" s="107"/>
      <c r="K293" s="84"/>
    </row>
    <row r="294" spans="1:11" x14ac:dyDescent="0.25">
      <c r="A294" s="81"/>
      <c r="B294" s="81"/>
      <c r="C294" s="37" t="s">
        <v>16</v>
      </c>
      <c r="D294" s="68">
        <v>102</v>
      </c>
      <c r="E294" s="40">
        <f>46.8</f>
        <v>46.8</v>
      </c>
      <c r="F294" s="38">
        <f>E294/D294*100</f>
        <v>45.882352941176471</v>
      </c>
      <c r="G294" s="84"/>
      <c r="H294" s="84"/>
      <c r="I294" s="102"/>
      <c r="J294" s="107"/>
      <c r="K294" s="84"/>
    </row>
    <row r="295" spans="1:11" x14ac:dyDescent="0.25">
      <c r="A295" s="81"/>
      <c r="B295" s="81"/>
      <c r="C295" s="37" t="s">
        <v>15</v>
      </c>
      <c r="D295" s="68">
        <v>0</v>
      </c>
      <c r="E295" s="38">
        <v>0</v>
      </c>
      <c r="F295" s="38"/>
      <c r="G295" s="84"/>
      <c r="H295" s="84"/>
      <c r="I295" s="102"/>
      <c r="J295" s="107"/>
      <c r="K295" s="84"/>
    </row>
    <row r="296" spans="1:11" ht="30" customHeight="1" x14ac:dyDescent="0.25">
      <c r="A296" s="82"/>
      <c r="B296" s="82"/>
      <c r="C296" s="37" t="s">
        <v>17</v>
      </c>
      <c r="D296" s="68">
        <v>0</v>
      </c>
      <c r="E296" s="38">
        <v>0</v>
      </c>
      <c r="F296" s="38"/>
      <c r="G296" s="85"/>
      <c r="H296" s="85"/>
      <c r="I296" s="102"/>
      <c r="J296" s="108"/>
      <c r="K296" s="85"/>
    </row>
    <row r="297" spans="1:11" ht="15" customHeight="1" x14ac:dyDescent="0.25">
      <c r="A297" s="80" t="s">
        <v>162</v>
      </c>
      <c r="B297" s="80" t="s">
        <v>137</v>
      </c>
      <c r="C297" s="37" t="s">
        <v>13</v>
      </c>
      <c r="D297" s="68">
        <f t="shared" ref="D297" si="72">SUM(D298:D301)</f>
        <v>256</v>
      </c>
      <c r="E297" s="38">
        <f>E298+E299+E300+E301</f>
        <v>105.6</v>
      </c>
      <c r="F297" s="38">
        <f>E297/D297*100</f>
        <v>41.25</v>
      </c>
      <c r="G297" s="83" t="s">
        <v>220</v>
      </c>
      <c r="H297" s="83" t="s">
        <v>220</v>
      </c>
      <c r="I297" s="102" t="s">
        <v>246</v>
      </c>
      <c r="J297" s="106" t="s">
        <v>24</v>
      </c>
      <c r="K297" s="83"/>
    </row>
    <row r="298" spans="1:11" x14ac:dyDescent="0.25">
      <c r="A298" s="81"/>
      <c r="B298" s="81"/>
      <c r="C298" s="37" t="s">
        <v>14</v>
      </c>
      <c r="D298" s="68">
        <v>0</v>
      </c>
      <c r="E298" s="38">
        <v>0</v>
      </c>
      <c r="F298" s="38"/>
      <c r="G298" s="84"/>
      <c r="H298" s="84"/>
      <c r="I298" s="102"/>
      <c r="J298" s="107"/>
      <c r="K298" s="84"/>
    </row>
    <row r="299" spans="1:11" x14ac:dyDescent="0.25">
      <c r="A299" s="81"/>
      <c r="B299" s="81"/>
      <c r="C299" s="37" t="s">
        <v>16</v>
      </c>
      <c r="D299" s="68">
        <v>256</v>
      </c>
      <c r="E299" s="40">
        <v>105.6</v>
      </c>
      <c r="F299" s="38">
        <f>E299/D299*100</f>
        <v>41.25</v>
      </c>
      <c r="G299" s="84"/>
      <c r="H299" s="84"/>
      <c r="I299" s="102"/>
      <c r="J299" s="107"/>
      <c r="K299" s="84"/>
    </row>
    <row r="300" spans="1:11" x14ac:dyDescent="0.25">
      <c r="A300" s="81"/>
      <c r="B300" s="81"/>
      <c r="C300" s="37" t="s">
        <v>15</v>
      </c>
      <c r="D300" s="68">
        <v>0</v>
      </c>
      <c r="E300" s="38">
        <v>0</v>
      </c>
      <c r="F300" s="38"/>
      <c r="G300" s="84"/>
      <c r="H300" s="84"/>
      <c r="I300" s="102"/>
      <c r="J300" s="107"/>
      <c r="K300" s="84"/>
    </row>
    <row r="301" spans="1:11" ht="75" customHeight="1" x14ac:dyDescent="0.25">
      <c r="A301" s="82"/>
      <c r="B301" s="82"/>
      <c r="C301" s="37" t="s">
        <v>17</v>
      </c>
      <c r="D301" s="65">
        <v>0</v>
      </c>
      <c r="E301" s="38">
        <v>0</v>
      </c>
      <c r="F301" s="38"/>
      <c r="G301" s="85"/>
      <c r="H301" s="85"/>
      <c r="I301" s="102"/>
      <c r="J301" s="108"/>
      <c r="K301" s="85"/>
    </row>
  </sheetData>
  <mergeCells count="363">
    <mergeCell ref="B107:B111"/>
    <mergeCell ref="G97:G111"/>
    <mergeCell ref="H97:H111"/>
    <mergeCell ref="B7:B11"/>
    <mergeCell ref="A7:A11"/>
    <mergeCell ref="G7:G11"/>
    <mergeCell ref="J7:J11"/>
    <mergeCell ref="K7:K11"/>
    <mergeCell ref="C5:E5"/>
    <mergeCell ref="G5:I5"/>
    <mergeCell ref="K5:K6"/>
    <mergeCell ref="A5:A6"/>
    <mergeCell ref="B5:B6"/>
    <mergeCell ref="F5:F6"/>
    <mergeCell ref="J5:J6"/>
    <mergeCell ref="A32:A36"/>
    <mergeCell ref="B32:B36"/>
    <mergeCell ref="A37:A41"/>
    <mergeCell ref="B37:B41"/>
    <mergeCell ref="A42:A46"/>
    <mergeCell ref="B42:B46"/>
    <mergeCell ref="G47:G51"/>
    <mergeCell ref="K47:K51"/>
    <mergeCell ref="B47:B51"/>
    <mergeCell ref="A47:A51"/>
    <mergeCell ref="J47:J51"/>
    <mergeCell ref="G32:G36"/>
    <mergeCell ref="G37:G41"/>
    <mergeCell ref="G42:G46"/>
    <mergeCell ref="J32:J36"/>
    <mergeCell ref="J37:J41"/>
    <mergeCell ref="J42:J46"/>
    <mergeCell ref="K32:K36"/>
    <mergeCell ref="K37:K41"/>
    <mergeCell ref="K42:K46"/>
    <mergeCell ref="A52:A56"/>
    <mergeCell ref="B52:B56"/>
    <mergeCell ref="G52:G56"/>
    <mergeCell ref="A62:A66"/>
    <mergeCell ref="B62:B66"/>
    <mergeCell ref="G62:G66"/>
    <mergeCell ref="J62:J66"/>
    <mergeCell ref="K62:K66"/>
    <mergeCell ref="H62:H66"/>
    <mergeCell ref="I62:I66"/>
    <mergeCell ref="J52:J56"/>
    <mergeCell ref="K52:K56"/>
    <mergeCell ref="A57:A61"/>
    <mergeCell ref="B57:B61"/>
    <mergeCell ref="G57:G61"/>
    <mergeCell ref="H57:H61"/>
    <mergeCell ref="I57:I61"/>
    <mergeCell ref="J57:J61"/>
    <mergeCell ref="K57:K61"/>
    <mergeCell ref="A67:A71"/>
    <mergeCell ref="B67:B71"/>
    <mergeCell ref="J67:J71"/>
    <mergeCell ref="K67:K71"/>
    <mergeCell ref="A112:A116"/>
    <mergeCell ref="B112:B116"/>
    <mergeCell ref="G112:G116"/>
    <mergeCell ref="J112:J116"/>
    <mergeCell ref="K112:K116"/>
    <mergeCell ref="I67:I71"/>
    <mergeCell ref="J72:J76"/>
    <mergeCell ref="I72:I76"/>
    <mergeCell ref="K72:K76"/>
    <mergeCell ref="A77:A81"/>
    <mergeCell ref="B77:B81"/>
    <mergeCell ref="G77:G81"/>
    <mergeCell ref="J77:J81"/>
    <mergeCell ref="K77:K81"/>
    <mergeCell ref="A82:A86"/>
    <mergeCell ref="B82:B86"/>
    <mergeCell ref="G82:G86"/>
    <mergeCell ref="H82:H86"/>
    <mergeCell ref="I82:I86"/>
    <mergeCell ref="J82:J86"/>
    <mergeCell ref="J257:J261"/>
    <mergeCell ref="I257:I261"/>
    <mergeCell ref="A242:A246"/>
    <mergeCell ref="B242:B246"/>
    <mergeCell ref="G242:G246"/>
    <mergeCell ref="H242:H246"/>
    <mergeCell ref="I242:I246"/>
    <mergeCell ref="J242:J246"/>
    <mergeCell ref="K242:K246"/>
    <mergeCell ref="H247:H251"/>
    <mergeCell ref="I247:I251"/>
    <mergeCell ref="K252:K256"/>
    <mergeCell ref="B247:B251"/>
    <mergeCell ref="A247:A251"/>
    <mergeCell ref="G247:G251"/>
    <mergeCell ref="J247:J251"/>
    <mergeCell ref="K257:K266"/>
    <mergeCell ref="J262:J266"/>
    <mergeCell ref="I262:I266"/>
    <mergeCell ref="B257:B261"/>
    <mergeCell ref="A257:A261"/>
    <mergeCell ref="I282:I286"/>
    <mergeCell ref="K267:K271"/>
    <mergeCell ref="B272:B276"/>
    <mergeCell ref="K277:K281"/>
    <mergeCell ref="B287:B291"/>
    <mergeCell ref="G272:G276"/>
    <mergeCell ref="J272:J276"/>
    <mergeCell ref="K272:K276"/>
    <mergeCell ref="B267:B271"/>
    <mergeCell ref="G267:G271"/>
    <mergeCell ref="J267:J271"/>
    <mergeCell ref="B277:B281"/>
    <mergeCell ref="J277:J281"/>
    <mergeCell ref="G277:G281"/>
    <mergeCell ref="A1:K1"/>
    <mergeCell ref="A2:K2"/>
    <mergeCell ref="A3:K3"/>
    <mergeCell ref="A72:A76"/>
    <mergeCell ref="B72:B76"/>
    <mergeCell ref="J282:J286"/>
    <mergeCell ref="K282:K286"/>
    <mergeCell ref="K297:K301"/>
    <mergeCell ref="A282:A286"/>
    <mergeCell ref="B282:B286"/>
    <mergeCell ref="G282:G286"/>
    <mergeCell ref="B292:B296"/>
    <mergeCell ref="A292:A296"/>
    <mergeCell ref="G292:G296"/>
    <mergeCell ref="J292:J296"/>
    <mergeCell ref="K292:K296"/>
    <mergeCell ref="A297:A301"/>
    <mergeCell ref="B297:B301"/>
    <mergeCell ref="G297:G301"/>
    <mergeCell ref="H297:H301"/>
    <mergeCell ref="I297:I301"/>
    <mergeCell ref="J297:J301"/>
    <mergeCell ref="A277:A281"/>
    <mergeCell ref="I287:I291"/>
    <mergeCell ref="A12:A16"/>
    <mergeCell ref="B12:B16"/>
    <mergeCell ref="G12:G16"/>
    <mergeCell ref="J12:J16"/>
    <mergeCell ref="K12:K16"/>
    <mergeCell ref="A17:A21"/>
    <mergeCell ref="B17:B21"/>
    <mergeCell ref="G17:G21"/>
    <mergeCell ref="J17:J21"/>
    <mergeCell ref="K17:K21"/>
    <mergeCell ref="A22:A26"/>
    <mergeCell ref="B22:B26"/>
    <mergeCell ref="G22:G26"/>
    <mergeCell ref="J22:J26"/>
    <mergeCell ref="K22:K26"/>
    <mergeCell ref="A27:A31"/>
    <mergeCell ref="B27:B31"/>
    <mergeCell ref="G27:G31"/>
    <mergeCell ref="J27:J31"/>
    <mergeCell ref="K27:K31"/>
    <mergeCell ref="A102:A106"/>
    <mergeCell ref="B102:B106"/>
    <mergeCell ref="I102:I106"/>
    <mergeCell ref="J102:J106"/>
    <mergeCell ref="A97:A101"/>
    <mergeCell ref="B97:B101"/>
    <mergeCell ref="I97:I101"/>
    <mergeCell ref="J97:J101"/>
    <mergeCell ref="K82:K86"/>
    <mergeCell ref="A87:A91"/>
    <mergeCell ref="B87:B91"/>
    <mergeCell ref="G87:G91"/>
    <mergeCell ref="H87:H91"/>
    <mergeCell ref="I87:I91"/>
    <mergeCell ref="J87:J91"/>
    <mergeCell ref="K87:K91"/>
    <mergeCell ref="A92:A96"/>
    <mergeCell ref="B92:B96"/>
    <mergeCell ref="G92:G96"/>
    <mergeCell ref="H92:H96"/>
    <mergeCell ref="I92:I96"/>
    <mergeCell ref="J92:J96"/>
    <mergeCell ref="K92:K96"/>
    <mergeCell ref="G117:G121"/>
    <mergeCell ref="J117:J121"/>
    <mergeCell ref="K117:K121"/>
    <mergeCell ref="A132:A136"/>
    <mergeCell ref="B132:B136"/>
    <mergeCell ref="G132:G136"/>
    <mergeCell ref="J132:J136"/>
    <mergeCell ref="K132:K136"/>
    <mergeCell ref="H132:H136"/>
    <mergeCell ref="I132:I136"/>
    <mergeCell ref="A122:A126"/>
    <mergeCell ref="B122:B126"/>
    <mergeCell ref="G122:G126"/>
    <mergeCell ref="H122:H126"/>
    <mergeCell ref="I122:I126"/>
    <mergeCell ref="J122:J126"/>
    <mergeCell ref="K122:K126"/>
    <mergeCell ref="A127:A131"/>
    <mergeCell ref="B127:B131"/>
    <mergeCell ref="G127:G131"/>
    <mergeCell ref="H127:H131"/>
    <mergeCell ref="I127:I131"/>
    <mergeCell ref="J127:J131"/>
    <mergeCell ref="K127:K131"/>
    <mergeCell ref="G152:G156"/>
    <mergeCell ref="H152:H156"/>
    <mergeCell ref="I152:I156"/>
    <mergeCell ref="J152:J156"/>
    <mergeCell ref="K152:K156"/>
    <mergeCell ref="A137:A141"/>
    <mergeCell ref="B137:B141"/>
    <mergeCell ref="G137:G141"/>
    <mergeCell ref="J137:J141"/>
    <mergeCell ref="K137:K141"/>
    <mergeCell ref="H137:H141"/>
    <mergeCell ref="I137:I141"/>
    <mergeCell ref="A142:A146"/>
    <mergeCell ref="B142:B146"/>
    <mergeCell ref="G142:G146"/>
    <mergeCell ref="J142:J146"/>
    <mergeCell ref="K142:K146"/>
    <mergeCell ref="A147:A151"/>
    <mergeCell ref="B147:B151"/>
    <mergeCell ref="G147:G151"/>
    <mergeCell ref="H147:H151"/>
    <mergeCell ref="I147:I151"/>
    <mergeCell ref="J147:J151"/>
    <mergeCell ref="K147:K151"/>
    <mergeCell ref="J157:J161"/>
    <mergeCell ref="K157:K161"/>
    <mergeCell ref="A162:A166"/>
    <mergeCell ref="B162:B166"/>
    <mergeCell ref="G162:G166"/>
    <mergeCell ref="J162:J166"/>
    <mergeCell ref="K162:K166"/>
    <mergeCell ref="A167:A171"/>
    <mergeCell ref="B167:B171"/>
    <mergeCell ref="G167:G171"/>
    <mergeCell ref="H167:H171"/>
    <mergeCell ref="I167:I171"/>
    <mergeCell ref="J167:J171"/>
    <mergeCell ref="K167:K171"/>
    <mergeCell ref="A157:A161"/>
    <mergeCell ref="B157:B161"/>
    <mergeCell ref="G157:G161"/>
    <mergeCell ref="H157:H161"/>
    <mergeCell ref="I157:I161"/>
    <mergeCell ref="I172:I176"/>
    <mergeCell ref="J172:J176"/>
    <mergeCell ref="K172:K176"/>
    <mergeCell ref="A187:A191"/>
    <mergeCell ref="B187:B191"/>
    <mergeCell ref="G187:G191"/>
    <mergeCell ref="J187:J191"/>
    <mergeCell ref="K187:K191"/>
    <mergeCell ref="A177:A181"/>
    <mergeCell ref="B177:B181"/>
    <mergeCell ref="G177:G181"/>
    <mergeCell ref="H177:H181"/>
    <mergeCell ref="I177:I181"/>
    <mergeCell ref="J177:J181"/>
    <mergeCell ref="K177:K181"/>
    <mergeCell ref="A182:A186"/>
    <mergeCell ref="B182:B186"/>
    <mergeCell ref="G182:G186"/>
    <mergeCell ref="H182:H186"/>
    <mergeCell ref="I182:I186"/>
    <mergeCell ref="J182:J186"/>
    <mergeCell ref="K182:K186"/>
    <mergeCell ref="A192:A196"/>
    <mergeCell ref="B192:B196"/>
    <mergeCell ref="G192:G196"/>
    <mergeCell ref="H192:H196"/>
    <mergeCell ref="I192:I196"/>
    <mergeCell ref="J192:J196"/>
    <mergeCell ref="K192:K196"/>
    <mergeCell ref="J197:J201"/>
    <mergeCell ref="K197:K201"/>
    <mergeCell ref="I202:I206"/>
    <mergeCell ref="J202:J206"/>
    <mergeCell ref="K202:K206"/>
    <mergeCell ref="I252:I256"/>
    <mergeCell ref="J252:J256"/>
    <mergeCell ref="K232:K236"/>
    <mergeCell ref="A227:A231"/>
    <mergeCell ref="B227:B231"/>
    <mergeCell ref="G227:G231"/>
    <mergeCell ref="J227:J231"/>
    <mergeCell ref="K227:K231"/>
    <mergeCell ref="A207:A211"/>
    <mergeCell ref="B207:B211"/>
    <mergeCell ref="G207:G211"/>
    <mergeCell ref="J207:J211"/>
    <mergeCell ref="K207:K211"/>
    <mergeCell ref="A212:A216"/>
    <mergeCell ref="B212:B216"/>
    <mergeCell ref="G212:G216"/>
    <mergeCell ref="H212:H216"/>
    <mergeCell ref="I212:I216"/>
    <mergeCell ref="J212:J216"/>
    <mergeCell ref="J217:J221"/>
    <mergeCell ref="K217:K221"/>
    <mergeCell ref="H292:H296"/>
    <mergeCell ref="I292:I296"/>
    <mergeCell ref="A222:A226"/>
    <mergeCell ref="B222:B226"/>
    <mergeCell ref="G222:G226"/>
    <mergeCell ref="H222:H226"/>
    <mergeCell ref="I222:I226"/>
    <mergeCell ref="J222:J226"/>
    <mergeCell ref="K222:K226"/>
    <mergeCell ref="A237:A241"/>
    <mergeCell ref="B237:B241"/>
    <mergeCell ref="G237:G241"/>
    <mergeCell ref="H237:H241"/>
    <mergeCell ref="I237:I241"/>
    <mergeCell ref="J237:J241"/>
    <mergeCell ref="K237:K241"/>
    <mergeCell ref="A272:A276"/>
    <mergeCell ref="J287:J291"/>
    <mergeCell ref="K287:K291"/>
    <mergeCell ref="H277:H281"/>
    <mergeCell ref="I277:I281"/>
    <mergeCell ref="H282:H286"/>
    <mergeCell ref="K247:K251"/>
    <mergeCell ref="A252:A256"/>
    <mergeCell ref="B252:B256"/>
    <mergeCell ref="G252:G256"/>
    <mergeCell ref="B262:B266"/>
    <mergeCell ref="A262:A266"/>
    <mergeCell ref="G67:G76"/>
    <mergeCell ref="H67:H76"/>
    <mergeCell ref="G257:G266"/>
    <mergeCell ref="H257:H266"/>
    <mergeCell ref="A172:A176"/>
    <mergeCell ref="B172:B176"/>
    <mergeCell ref="G172:G176"/>
    <mergeCell ref="H172:H176"/>
    <mergeCell ref="A117:A121"/>
    <mergeCell ref="B117:B121"/>
    <mergeCell ref="A152:A156"/>
    <mergeCell ref="B152:B156"/>
    <mergeCell ref="K97:K106"/>
    <mergeCell ref="K212:K216"/>
    <mergeCell ref="A232:A236"/>
    <mergeCell ref="B232:B236"/>
    <mergeCell ref="G232:G236"/>
    <mergeCell ref="J232:J236"/>
    <mergeCell ref="A287:A291"/>
    <mergeCell ref="G287:G291"/>
    <mergeCell ref="H287:H291"/>
    <mergeCell ref="A217:A221"/>
    <mergeCell ref="B217:B221"/>
    <mergeCell ref="G217:G221"/>
    <mergeCell ref="H252:H256"/>
    <mergeCell ref="A197:A201"/>
    <mergeCell ref="B197:B201"/>
    <mergeCell ref="G197:G201"/>
    <mergeCell ref="A202:A206"/>
    <mergeCell ref="B202:B206"/>
    <mergeCell ref="A267:A271"/>
    <mergeCell ref="G202:G206"/>
    <mergeCell ref="H202:H206"/>
  </mergeCells>
  <pageMargins left="0.25" right="0.25" top="0.75" bottom="0.75" header="0.3" footer="0.3"/>
  <pageSetup paperSize="9" scale="4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7"/>
  <sheetViews>
    <sheetView topLeftCell="A34" zoomScale="80" zoomScaleNormal="80" workbookViewId="0">
      <selection activeCell="K19" sqref="K19"/>
    </sheetView>
  </sheetViews>
  <sheetFormatPr defaultColWidth="8.85546875" defaultRowHeight="15" x14ac:dyDescent="0.25"/>
  <cols>
    <col min="1" max="1" width="4.7109375" style="11" customWidth="1"/>
    <col min="2" max="2" width="36.28515625" style="46" customWidth="1"/>
    <col min="3" max="3" width="8.85546875" style="11"/>
    <col min="4" max="5" width="9" style="11" bestFit="1" customWidth="1"/>
    <col min="6" max="6" width="9.28515625" style="11" bestFit="1" customWidth="1"/>
    <col min="7" max="7" width="8.85546875" style="11"/>
    <col min="8" max="8" width="13.85546875" style="13" customWidth="1"/>
    <col min="9" max="9" width="12.85546875" style="11" customWidth="1"/>
    <col min="10" max="10" width="36.5703125" style="11" customWidth="1"/>
    <col min="11" max="11" width="58.85546875" style="11" customWidth="1"/>
    <col min="12" max="12" width="14.140625" style="46" customWidth="1"/>
    <col min="13" max="13" width="12.85546875" style="11" customWidth="1"/>
    <col min="14" max="14" width="17.140625" style="11" customWidth="1"/>
    <col min="15" max="16384" width="8.85546875" style="11"/>
  </cols>
  <sheetData>
    <row r="1" spans="1:14" ht="14.45" customHeight="1" x14ac:dyDescent="0.25">
      <c r="A1" s="134" t="s">
        <v>58</v>
      </c>
      <c r="B1" s="134"/>
      <c r="C1" s="134"/>
      <c r="D1" s="134"/>
      <c r="E1" s="134"/>
      <c r="F1" s="134"/>
      <c r="G1" s="134"/>
      <c r="H1" s="134"/>
      <c r="I1" s="134"/>
      <c r="J1" s="134"/>
      <c r="K1" s="134"/>
      <c r="L1" s="134"/>
      <c r="M1" s="134"/>
      <c r="N1" s="134"/>
    </row>
    <row r="2" spans="1:14" x14ac:dyDescent="0.25">
      <c r="A2" s="134" t="s">
        <v>59</v>
      </c>
      <c r="B2" s="134"/>
      <c r="C2" s="134"/>
      <c r="D2" s="134"/>
      <c r="E2" s="134"/>
      <c r="F2" s="134"/>
      <c r="G2" s="134"/>
      <c r="H2" s="134"/>
      <c r="I2" s="134"/>
      <c r="J2" s="134"/>
      <c r="K2" s="134"/>
      <c r="L2" s="134"/>
      <c r="M2" s="134"/>
      <c r="N2" s="134"/>
    </row>
    <row r="4" spans="1:14" ht="28.9" customHeight="1" x14ac:dyDescent="0.25">
      <c r="A4" s="147" t="s">
        <v>0</v>
      </c>
      <c r="B4" s="130" t="s">
        <v>36</v>
      </c>
      <c r="C4" s="147" t="s">
        <v>37</v>
      </c>
      <c r="D4" s="147" t="s">
        <v>38</v>
      </c>
      <c r="E4" s="147" t="s">
        <v>39</v>
      </c>
      <c r="F4" s="147"/>
      <c r="G4" s="147"/>
      <c r="H4" s="152" t="s">
        <v>42</v>
      </c>
      <c r="I4" s="147" t="s">
        <v>56</v>
      </c>
      <c r="J4" s="147" t="s">
        <v>43</v>
      </c>
      <c r="K4" s="147" t="s">
        <v>44</v>
      </c>
      <c r="L4" s="130" t="s">
        <v>57</v>
      </c>
      <c r="M4" s="147" t="s">
        <v>45</v>
      </c>
      <c r="N4" s="147" t="s">
        <v>46</v>
      </c>
    </row>
    <row r="5" spans="1:14" x14ac:dyDescent="0.25">
      <c r="A5" s="147"/>
      <c r="B5" s="130"/>
      <c r="C5" s="147"/>
      <c r="D5" s="147"/>
      <c r="E5" s="14">
        <v>2022</v>
      </c>
      <c r="F5" s="147">
        <v>2023</v>
      </c>
      <c r="G5" s="147"/>
      <c r="H5" s="152"/>
      <c r="I5" s="147"/>
      <c r="J5" s="147"/>
      <c r="K5" s="147"/>
      <c r="L5" s="130"/>
      <c r="M5" s="147"/>
      <c r="N5" s="147"/>
    </row>
    <row r="6" spans="1:14" ht="62.25" customHeight="1" x14ac:dyDescent="0.25">
      <c r="A6" s="147"/>
      <c r="B6" s="130"/>
      <c r="C6" s="147"/>
      <c r="D6" s="147"/>
      <c r="E6" s="2" t="s">
        <v>40</v>
      </c>
      <c r="F6" s="2" t="s">
        <v>41</v>
      </c>
      <c r="G6" s="2" t="s">
        <v>40</v>
      </c>
      <c r="H6" s="152"/>
      <c r="I6" s="147"/>
      <c r="J6" s="147"/>
      <c r="K6" s="147"/>
      <c r="L6" s="130"/>
      <c r="M6" s="147"/>
      <c r="N6" s="147"/>
    </row>
    <row r="7" spans="1:14" s="12" customFormat="1" ht="55.9" customHeight="1" x14ac:dyDescent="0.2">
      <c r="A7" s="15"/>
      <c r="B7" s="49" t="s">
        <v>166</v>
      </c>
      <c r="C7" s="15"/>
      <c r="D7" s="15"/>
      <c r="E7" s="15"/>
      <c r="F7" s="15"/>
      <c r="G7" s="15"/>
      <c r="H7" s="16"/>
      <c r="I7" s="15"/>
      <c r="J7" s="4"/>
      <c r="K7" s="4"/>
      <c r="L7" s="47"/>
      <c r="M7" s="7">
        <f>AVERAGE(M8:M13,M15:M20,M22:M31,M33:M37)</f>
        <v>96.085417117981407</v>
      </c>
      <c r="N7" s="7">
        <f>AVERAGE(N10,N12,N33:N34,N36)</f>
        <v>100</v>
      </c>
    </row>
    <row r="8" spans="1:14" ht="90" x14ac:dyDescent="0.25">
      <c r="A8" s="17" t="s">
        <v>47</v>
      </c>
      <c r="B8" s="43" t="s">
        <v>168</v>
      </c>
      <c r="C8" s="17" t="s">
        <v>83</v>
      </c>
      <c r="D8" s="17">
        <v>0</v>
      </c>
      <c r="E8" s="18">
        <v>95</v>
      </c>
      <c r="F8" s="17">
        <v>94</v>
      </c>
      <c r="G8" s="18">
        <v>94</v>
      </c>
      <c r="H8" s="19">
        <f t="shared" ref="H8:H13" si="0">G8/F8*100</f>
        <v>100</v>
      </c>
      <c r="I8" s="19">
        <f t="shared" ref="I8:I13" si="1">G8/E8*100</f>
        <v>98.94736842105263</v>
      </c>
      <c r="J8" s="20"/>
      <c r="K8" s="20"/>
      <c r="L8" s="44" t="s">
        <v>88</v>
      </c>
      <c r="M8" s="3">
        <f t="shared" ref="M8:M13" si="2">MIN(G8/F8*100, 100)</f>
        <v>100</v>
      </c>
      <c r="N8" s="3" t="str">
        <f>IF(D8&lt;&gt;0,MIN(I8,100),"-")</f>
        <v>-</v>
      </c>
    </row>
    <row r="9" spans="1:14" ht="165" x14ac:dyDescent="0.25">
      <c r="A9" s="17" t="s">
        <v>48</v>
      </c>
      <c r="B9" s="43" t="s">
        <v>169</v>
      </c>
      <c r="C9" s="17" t="s">
        <v>83</v>
      </c>
      <c r="D9" s="17">
        <v>0</v>
      </c>
      <c r="E9" s="18">
        <v>100</v>
      </c>
      <c r="F9" s="17">
        <v>100</v>
      </c>
      <c r="G9" s="22">
        <v>100</v>
      </c>
      <c r="H9" s="19">
        <f t="shared" si="0"/>
        <v>100</v>
      </c>
      <c r="I9" s="19">
        <f t="shared" si="1"/>
        <v>100</v>
      </c>
      <c r="J9" s="20"/>
      <c r="K9" s="20"/>
      <c r="L9" s="44" t="s">
        <v>88</v>
      </c>
      <c r="M9" s="3">
        <f t="shared" si="2"/>
        <v>100</v>
      </c>
      <c r="N9" s="3" t="str">
        <f t="shared" ref="N9:N37" si="3">IF(D9&lt;&gt;0,MIN(I9,100),"-")</f>
        <v>-</v>
      </c>
    </row>
    <row r="10" spans="1:14" ht="60" x14ac:dyDescent="0.25">
      <c r="A10" s="17" t="s">
        <v>49</v>
      </c>
      <c r="B10" s="43" t="s">
        <v>170</v>
      </c>
      <c r="C10" s="17" t="s">
        <v>171</v>
      </c>
      <c r="D10" s="17">
        <v>1</v>
      </c>
      <c r="E10" s="18">
        <v>2905</v>
      </c>
      <c r="F10" s="17">
        <v>3537</v>
      </c>
      <c r="G10" s="18">
        <v>3537</v>
      </c>
      <c r="H10" s="19">
        <f t="shared" si="0"/>
        <v>100</v>
      </c>
      <c r="I10" s="19">
        <f t="shared" si="1"/>
        <v>121.75559380378658</v>
      </c>
      <c r="J10" s="20"/>
      <c r="K10" s="20"/>
      <c r="L10" s="44" t="s">
        <v>175</v>
      </c>
      <c r="M10" s="3">
        <f t="shared" si="2"/>
        <v>100</v>
      </c>
      <c r="N10" s="3">
        <f t="shared" si="3"/>
        <v>100</v>
      </c>
    </row>
    <row r="11" spans="1:14" ht="135" x14ac:dyDescent="0.25">
      <c r="A11" s="17" t="s">
        <v>50</v>
      </c>
      <c r="B11" s="43" t="s">
        <v>172</v>
      </c>
      <c r="C11" s="17" t="s">
        <v>83</v>
      </c>
      <c r="D11" s="17">
        <v>0</v>
      </c>
      <c r="E11" s="18">
        <v>100</v>
      </c>
      <c r="F11" s="17">
        <v>100</v>
      </c>
      <c r="G11" s="18">
        <v>100</v>
      </c>
      <c r="H11" s="19">
        <f t="shared" si="0"/>
        <v>100</v>
      </c>
      <c r="I11" s="19">
        <f t="shared" si="1"/>
        <v>100</v>
      </c>
      <c r="J11" s="20"/>
      <c r="K11" s="20"/>
      <c r="L11" s="44" t="s">
        <v>92</v>
      </c>
      <c r="M11" s="3">
        <f t="shared" si="2"/>
        <v>100</v>
      </c>
      <c r="N11" s="3" t="str">
        <f t="shared" si="3"/>
        <v>-</v>
      </c>
    </row>
    <row r="12" spans="1:14" ht="105" x14ac:dyDescent="0.25">
      <c r="A12" s="17" t="s">
        <v>51</v>
      </c>
      <c r="B12" s="43" t="s">
        <v>173</v>
      </c>
      <c r="C12" s="17" t="s">
        <v>180</v>
      </c>
      <c r="D12" s="17">
        <v>1</v>
      </c>
      <c r="E12" s="18">
        <v>58</v>
      </c>
      <c r="F12" s="17">
        <v>62</v>
      </c>
      <c r="G12" s="18">
        <v>62</v>
      </c>
      <c r="H12" s="19">
        <f t="shared" si="0"/>
        <v>100</v>
      </c>
      <c r="I12" s="19">
        <f t="shared" si="1"/>
        <v>106.89655172413792</v>
      </c>
      <c r="J12" s="20"/>
      <c r="K12" s="20"/>
      <c r="L12" s="44" t="s">
        <v>176</v>
      </c>
      <c r="M12" s="3">
        <f t="shared" si="2"/>
        <v>100</v>
      </c>
      <c r="N12" s="3">
        <f t="shared" si="3"/>
        <v>100</v>
      </c>
    </row>
    <row r="13" spans="1:14" ht="105" x14ac:dyDescent="0.25">
      <c r="A13" s="17" t="s">
        <v>167</v>
      </c>
      <c r="B13" s="43" t="s">
        <v>174</v>
      </c>
      <c r="C13" s="17" t="s">
        <v>83</v>
      </c>
      <c r="D13" s="17">
        <v>0</v>
      </c>
      <c r="E13" s="18">
        <v>100</v>
      </c>
      <c r="F13" s="17">
        <v>100</v>
      </c>
      <c r="G13" s="18">
        <v>100</v>
      </c>
      <c r="H13" s="19">
        <f t="shared" si="0"/>
        <v>100</v>
      </c>
      <c r="I13" s="19">
        <f t="shared" si="1"/>
        <v>100</v>
      </c>
      <c r="J13" s="20"/>
      <c r="K13" s="20"/>
      <c r="L13" s="44" t="s">
        <v>90</v>
      </c>
      <c r="M13" s="3">
        <f t="shared" si="2"/>
        <v>100</v>
      </c>
      <c r="N13" s="3" t="str">
        <f t="shared" si="3"/>
        <v>-</v>
      </c>
    </row>
    <row r="14" spans="1:14" s="12" customFormat="1" ht="80.25" customHeight="1" x14ac:dyDescent="0.2">
      <c r="A14" s="15" t="s">
        <v>25</v>
      </c>
      <c r="B14" s="49" t="s">
        <v>177</v>
      </c>
      <c r="C14" s="15"/>
      <c r="D14" s="15"/>
      <c r="E14" s="15"/>
      <c r="F14" s="15"/>
      <c r="G14" s="15"/>
      <c r="H14" s="19"/>
      <c r="I14" s="19"/>
      <c r="J14" s="9"/>
      <c r="K14" s="9"/>
      <c r="L14" s="48"/>
      <c r="M14" s="7">
        <f>AVERAGE(M15:M20)</f>
        <v>93.875922924636072</v>
      </c>
      <c r="N14" s="7" t="s">
        <v>23</v>
      </c>
    </row>
    <row r="15" spans="1:14" s="12" customFormat="1" ht="99" customHeight="1" x14ac:dyDescent="0.2">
      <c r="A15" s="17" t="s">
        <v>26</v>
      </c>
      <c r="B15" s="43" t="s">
        <v>179</v>
      </c>
      <c r="C15" s="17" t="s">
        <v>171</v>
      </c>
      <c r="D15" s="17">
        <v>0</v>
      </c>
      <c r="E15" s="18">
        <v>388</v>
      </c>
      <c r="F15" s="17">
        <v>358</v>
      </c>
      <c r="G15" s="18">
        <v>336</v>
      </c>
      <c r="H15" s="19">
        <f t="shared" ref="H15:H20" si="4">G15/F15*100</f>
        <v>93.85474860335195</v>
      </c>
      <c r="I15" s="19">
        <f t="shared" ref="I15:I20" si="5">G15/E15*100</f>
        <v>86.597938144329902</v>
      </c>
      <c r="J15" s="20" t="s">
        <v>226</v>
      </c>
      <c r="K15" s="20"/>
      <c r="L15" s="44" t="s">
        <v>88</v>
      </c>
      <c r="M15" s="3">
        <f t="shared" ref="M15:M20" si="6">MIN(G15/F15*100, 100)</f>
        <v>93.85474860335195</v>
      </c>
      <c r="N15" s="3" t="str">
        <f t="shared" si="3"/>
        <v>-</v>
      </c>
    </row>
    <row r="16" spans="1:14" s="12" customFormat="1" ht="93" customHeight="1" x14ac:dyDescent="0.2">
      <c r="A16" s="17" t="s">
        <v>52</v>
      </c>
      <c r="B16" s="43" t="s">
        <v>181</v>
      </c>
      <c r="C16" s="17" t="s">
        <v>171</v>
      </c>
      <c r="D16" s="17">
        <v>0</v>
      </c>
      <c r="E16" s="18">
        <v>277</v>
      </c>
      <c r="F16" s="17">
        <v>264</v>
      </c>
      <c r="G16" s="18">
        <v>261</v>
      </c>
      <c r="H16" s="19">
        <f t="shared" si="4"/>
        <v>98.86363636363636</v>
      </c>
      <c r="I16" s="19">
        <f t="shared" si="5"/>
        <v>94.223826714801433</v>
      </c>
      <c r="J16" s="20" t="s">
        <v>226</v>
      </c>
      <c r="K16" s="20"/>
      <c r="L16" s="44" t="s">
        <v>88</v>
      </c>
      <c r="M16" s="3">
        <f t="shared" si="6"/>
        <v>98.86363636363636</v>
      </c>
      <c r="N16" s="3" t="str">
        <f t="shared" si="3"/>
        <v>-</v>
      </c>
    </row>
    <row r="17" spans="1:14" s="12" customFormat="1" ht="48" customHeight="1" x14ac:dyDescent="0.2">
      <c r="A17" s="17" t="s">
        <v>53</v>
      </c>
      <c r="B17" s="43" t="s">
        <v>182</v>
      </c>
      <c r="C17" s="17" t="s">
        <v>171</v>
      </c>
      <c r="D17" s="17">
        <v>0</v>
      </c>
      <c r="E17" s="18">
        <v>100</v>
      </c>
      <c r="F17" s="17">
        <v>100</v>
      </c>
      <c r="G17" s="18">
        <v>99</v>
      </c>
      <c r="H17" s="19">
        <f t="shared" si="4"/>
        <v>99</v>
      </c>
      <c r="I17" s="19">
        <f t="shared" si="5"/>
        <v>99</v>
      </c>
      <c r="J17" s="20"/>
      <c r="K17" s="20"/>
      <c r="L17" s="44" t="s">
        <v>88</v>
      </c>
      <c r="M17" s="3">
        <f t="shared" si="6"/>
        <v>99</v>
      </c>
      <c r="N17" s="3" t="str">
        <f t="shared" si="3"/>
        <v>-</v>
      </c>
    </row>
    <row r="18" spans="1:14" s="12" customFormat="1" ht="93.75" customHeight="1" x14ac:dyDescent="0.2">
      <c r="A18" s="17" t="s">
        <v>54</v>
      </c>
      <c r="B18" s="43" t="s">
        <v>183</v>
      </c>
      <c r="C18" s="17" t="s">
        <v>171</v>
      </c>
      <c r="D18" s="17">
        <v>0</v>
      </c>
      <c r="E18" s="18">
        <v>477</v>
      </c>
      <c r="F18" s="17">
        <v>430</v>
      </c>
      <c r="G18" s="18">
        <v>402</v>
      </c>
      <c r="H18" s="19">
        <f t="shared" si="4"/>
        <v>93.488372093023258</v>
      </c>
      <c r="I18" s="19">
        <f t="shared" si="5"/>
        <v>84.276729559748432</v>
      </c>
      <c r="J18" s="20" t="s">
        <v>225</v>
      </c>
      <c r="K18" s="20"/>
      <c r="L18" s="44" t="s">
        <v>88</v>
      </c>
      <c r="M18" s="3">
        <f t="shared" si="6"/>
        <v>93.488372093023258</v>
      </c>
      <c r="N18" s="3" t="str">
        <f t="shared" si="3"/>
        <v>-</v>
      </c>
    </row>
    <row r="19" spans="1:14" s="12" customFormat="1" ht="162.75" customHeight="1" x14ac:dyDescent="0.2">
      <c r="A19" s="17" t="s">
        <v>85</v>
      </c>
      <c r="B19" s="43" t="s">
        <v>184</v>
      </c>
      <c r="C19" s="17" t="s">
        <v>171</v>
      </c>
      <c r="D19" s="17">
        <v>0</v>
      </c>
      <c r="E19" s="18">
        <v>59</v>
      </c>
      <c r="F19" s="17">
        <v>164</v>
      </c>
      <c r="G19" s="18">
        <v>128</v>
      </c>
      <c r="H19" s="19">
        <f t="shared" si="4"/>
        <v>78.048780487804876</v>
      </c>
      <c r="I19" s="19">
        <f t="shared" si="5"/>
        <v>216.94915254237287</v>
      </c>
      <c r="J19" s="20" t="s">
        <v>221</v>
      </c>
      <c r="K19" s="20" t="s">
        <v>231</v>
      </c>
      <c r="L19" s="44" t="s">
        <v>89</v>
      </c>
      <c r="M19" s="3">
        <f t="shared" si="6"/>
        <v>78.048780487804876</v>
      </c>
      <c r="N19" s="3" t="str">
        <f t="shared" si="3"/>
        <v>-</v>
      </c>
    </row>
    <row r="20" spans="1:14" ht="120" x14ac:dyDescent="0.25">
      <c r="A20" s="17" t="s">
        <v>178</v>
      </c>
      <c r="B20" s="43" t="s">
        <v>185</v>
      </c>
      <c r="C20" s="17" t="s">
        <v>171</v>
      </c>
      <c r="D20" s="17">
        <v>0</v>
      </c>
      <c r="E20" s="18">
        <v>20</v>
      </c>
      <c r="F20" s="17">
        <v>20</v>
      </c>
      <c r="G20" s="18">
        <v>20</v>
      </c>
      <c r="H20" s="19">
        <f t="shared" si="4"/>
        <v>100</v>
      </c>
      <c r="I20" s="19">
        <f t="shared" si="5"/>
        <v>100</v>
      </c>
      <c r="J20" s="20"/>
      <c r="K20" s="20"/>
      <c r="L20" s="44" t="s">
        <v>200</v>
      </c>
      <c r="M20" s="3">
        <f t="shared" si="6"/>
        <v>100</v>
      </c>
      <c r="N20" s="3" t="str">
        <f t="shared" si="3"/>
        <v>-</v>
      </c>
    </row>
    <row r="21" spans="1:14" s="12" customFormat="1" ht="57" x14ac:dyDescent="0.2">
      <c r="A21" s="15" t="s">
        <v>55</v>
      </c>
      <c r="B21" s="49" t="s">
        <v>186</v>
      </c>
      <c r="C21" s="15"/>
      <c r="D21" s="15"/>
      <c r="E21" s="15"/>
      <c r="F21" s="15"/>
      <c r="G21" s="15"/>
      <c r="H21" s="19"/>
      <c r="I21" s="19"/>
      <c r="J21" s="9"/>
      <c r="K21" s="9"/>
      <c r="L21" s="48"/>
      <c r="M21" s="7">
        <f>AVERAGE(M22:M31)</f>
        <v>94.85507246376811</v>
      </c>
      <c r="N21" s="7" t="s">
        <v>23</v>
      </c>
    </row>
    <row r="22" spans="1:14" s="12" customFormat="1" ht="45" x14ac:dyDescent="0.2">
      <c r="A22" s="17" t="s">
        <v>31</v>
      </c>
      <c r="B22" s="43" t="s">
        <v>190</v>
      </c>
      <c r="C22" s="17" t="s">
        <v>171</v>
      </c>
      <c r="D22" s="17">
        <v>0</v>
      </c>
      <c r="E22" s="18">
        <v>150</v>
      </c>
      <c r="F22" s="17">
        <v>150</v>
      </c>
      <c r="G22" s="18">
        <v>150</v>
      </c>
      <c r="H22" s="19">
        <f t="shared" ref="H22:H31" si="7">G22/F22*100</f>
        <v>100</v>
      </c>
      <c r="I22" s="19">
        <f t="shared" ref="I22:I31" si="8">G22/E22*100</f>
        <v>100</v>
      </c>
      <c r="J22" s="20"/>
      <c r="K22" s="20"/>
      <c r="L22" s="44" t="s">
        <v>24</v>
      </c>
      <c r="M22" s="3">
        <f t="shared" ref="M22:M31" si="9">MIN(G22/F22*100, 100)</f>
        <v>100</v>
      </c>
      <c r="N22" s="3" t="str">
        <f t="shared" si="3"/>
        <v>-</v>
      </c>
    </row>
    <row r="23" spans="1:14" s="12" customFormat="1" ht="66" customHeight="1" x14ac:dyDescent="0.2">
      <c r="A23" s="17" t="s">
        <v>120</v>
      </c>
      <c r="B23" s="43" t="s">
        <v>191</v>
      </c>
      <c r="C23" s="17" t="s">
        <v>171</v>
      </c>
      <c r="D23" s="17">
        <v>0</v>
      </c>
      <c r="E23" s="18">
        <v>958</v>
      </c>
      <c r="F23" s="17">
        <v>958</v>
      </c>
      <c r="G23" s="18">
        <v>958</v>
      </c>
      <c r="H23" s="19">
        <f t="shared" si="7"/>
        <v>100</v>
      </c>
      <c r="I23" s="19">
        <f t="shared" si="8"/>
        <v>100</v>
      </c>
      <c r="J23" s="20"/>
      <c r="K23" s="20"/>
      <c r="L23" s="44" t="s">
        <v>24</v>
      </c>
      <c r="M23" s="3">
        <f t="shared" si="9"/>
        <v>100</v>
      </c>
      <c r="N23" s="3" t="str">
        <f t="shared" si="3"/>
        <v>-</v>
      </c>
    </row>
    <row r="24" spans="1:14" s="12" customFormat="1" ht="45" x14ac:dyDescent="0.2">
      <c r="A24" s="17" t="s">
        <v>124</v>
      </c>
      <c r="B24" s="43" t="s">
        <v>192</v>
      </c>
      <c r="C24" s="17" t="s">
        <v>180</v>
      </c>
      <c r="D24" s="17">
        <v>0</v>
      </c>
      <c r="E24" s="18">
        <v>1</v>
      </c>
      <c r="F24" s="17">
        <v>1</v>
      </c>
      <c r="G24" s="18">
        <v>1</v>
      </c>
      <c r="H24" s="19">
        <f t="shared" si="7"/>
        <v>100</v>
      </c>
      <c r="I24" s="19">
        <f t="shared" si="8"/>
        <v>100</v>
      </c>
      <c r="J24" s="20"/>
      <c r="K24" s="20"/>
      <c r="L24" s="44" t="s">
        <v>90</v>
      </c>
      <c r="M24" s="3">
        <f t="shared" si="9"/>
        <v>100</v>
      </c>
      <c r="N24" s="3" t="str">
        <f t="shared" si="3"/>
        <v>-</v>
      </c>
    </row>
    <row r="25" spans="1:14" s="12" customFormat="1" ht="55.5" customHeight="1" x14ac:dyDescent="0.2">
      <c r="A25" s="17" t="s">
        <v>134</v>
      </c>
      <c r="B25" s="43" t="s">
        <v>193</v>
      </c>
      <c r="C25" s="17" t="s">
        <v>180</v>
      </c>
      <c r="D25" s="17">
        <v>0</v>
      </c>
      <c r="E25" s="18">
        <v>130</v>
      </c>
      <c r="F25" s="17">
        <v>130</v>
      </c>
      <c r="G25" s="18">
        <v>65</v>
      </c>
      <c r="H25" s="19">
        <f t="shared" si="7"/>
        <v>50</v>
      </c>
      <c r="I25" s="19">
        <f t="shared" si="8"/>
        <v>50</v>
      </c>
      <c r="J25" s="20" t="s">
        <v>218</v>
      </c>
      <c r="K25" s="20"/>
      <c r="L25" s="44" t="s">
        <v>91</v>
      </c>
      <c r="M25" s="3">
        <f t="shared" si="9"/>
        <v>50</v>
      </c>
      <c r="N25" s="3" t="str">
        <f t="shared" si="3"/>
        <v>-</v>
      </c>
    </row>
    <row r="26" spans="1:14" s="12" customFormat="1" ht="60" x14ac:dyDescent="0.2">
      <c r="A26" s="17" t="s">
        <v>138</v>
      </c>
      <c r="B26" s="43" t="s">
        <v>194</v>
      </c>
      <c r="C26" s="17" t="s">
        <v>171</v>
      </c>
      <c r="D26" s="17">
        <v>0</v>
      </c>
      <c r="E26" s="18">
        <v>55</v>
      </c>
      <c r="F26" s="17">
        <v>56</v>
      </c>
      <c r="G26" s="18">
        <v>56</v>
      </c>
      <c r="H26" s="19">
        <f t="shared" si="7"/>
        <v>100</v>
      </c>
      <c r="I26" s="19">
        <f t="shared" si="8"/>
        <v>101.81818181818181</v>
      </c>
      <c r="J26" s="20"/>
      <c r="K26" s="20"/>
      <c r="L26" s="44" t="s">
        <v>24</v>
      </c>
      <c r="M26" s="3">
        <f t="shared" si="9"/>
        <v>100</v>
      </c>
      <c r="N26" s="3" t="str">
        <f t="shared" si="3"/>
        <v>-</v>
      </c>
    </row>
    <row r="27" spans="1:14" s="12" customFormat="1" ht="51.75" customHeight="1" x14ac:dyDescent="0.2">
      <c r="A27" s="17" t="s">
        <v>140</v>
      </c>
      <c r="B27" s="43" t="s">
        <v>195</v>
      </c>
      <c r="C27" s="17" t="s">
        <v>171</v>
      </c>
      <c r="D27" s="17">
        <v>0</v>
      </c>
      <c r="E27" s="18">
        <v>1800</v>
      </c>
      <c r="F27" s="17">
        <v>1500</v>
      </c>
      <c r="G27" s="18">
        <v>1500</v>
      </c>
      <c r="H27" s="19">
        <f t="shared" si="7"/>
        <v>100</v>
      </c>
      <c r="I27" s="19">
        <f t="shared" si="8"/>
        <v>83.333333333333343</v>
      </c>
      <c r="J27" s="20" t="s">
        <v>229</v>
      </c>
      <c r="K27" s="20"/>
      <c r="L27" s="44" t="s">
        <v>24</v>
      </c>
      <c r="M27" s="3">
        <f t="shared" si="9"/>
        <v>100</v>
      </c>
      <c r="N27" s="3" t="str">
        <f t="shared" si="3"/>
        <v>-</v>
      </c>
    </row>
    <row r="28" spans="1:14" s="12" customFormat="1" ht="60" x14ac:dyDescent="0.2">
      <c r="A28" s="17" t="s">
        <v>144</v>
      </c>
      <c r="B28" s="43" t="s">
        <v>196</v>
      </c>
      <c r="C28" s="17" t="s">
        <v>171</v>
      </c>
      <c r="D28" s="17">
        <v>0</v>
      </c>
      <c r="E28" s="18">
        <v>39</v>
      </c>
      <c r="F28" s="43">
        <v>31</v>
      </c>
      <c r="G28" s="18">
        <v>31</v>
      </c>
      <c r="H28" s="19">
        <f t="shared" si="7"/>
        <v>100</v>
      </c>
      <c r="I28" s="19">
        <f t="shared" si="8"/>
        <v>79.487179487179489</v>
      </c>
      <c r="J28" s="20" t="s">
        <v>230</v>
      </c>
      <c r="K28" s="20"/>
      <c r="L28" s="44" t="s">
        <v>24</v>
      </c>
      <c r="M28" s="3">
        <f t="shared" si="9"/>
        <v>100</v>
      </c>
      <c r="N28" s="3" t="str">
        <f t="shared" si="3"/>
        <v>-</v>
      </c>
    </row>
    <row r="29" spans="1:14" s="12" customFormat="1" ht="60" x14ac:dyDescent="0.2">
      <c r="A29" s="17" t="s">
        <v>187</v>
      </c>
      <c r="B29" s="43" t="s">
        <v>197</v>
      </c>
      <c r="C29" s="17" t="s">
        <v>171</v>
      </c>
      <c r="D29" s="17">
        <v>0</v>
      </c>
      <c r="E29" s="18">
        <v>33</v>
      </c>
      <c r="F29" s="17">
        <v>33</v>
      </c>
      <c r="G29" s="18">
        <v>33</v>
      </c>
      <c r="H29" s="19">
        <f t="shared" si="7"/>
        <v>100</v>
      </c>
      <c r="I29" s="19">
        <f t="shared" si="8"/>
        <v>100</v>
      </c>
      <c r="J29" s="20"/>
      <c r="K29" s="20"/>
      <c r="L29" s="44" t="s">
        <v>24</v>
      </c>
      <c r="M29" s="3">
        <f t="shared" si="9"/>
        <v>100</v>
      </c>
      <c r="N29" s="3" t="str">
        <f t="shared" si="3"/>
        <v>-</v>
      </c>
    </row>
    <row r="30" spans="1:14" s="12" customFormat="1" ht="66" customHeight="1" x14ac:dyDescent="0.2">
      <c r="A30" s="17" t="s">
        <v>188</v>
      </c>
      <c r="B30" s="43" t="s">
        <v>198</v>
      </c>
      <c r="C30" s="17" t="s">
        <v>171</v>
      </c>
      <c r="D30" s="17">
        <v>0</v>
      </c>
      <c r="E30" s="18">
        <v>72</v>
      </c>
      <c r="F30" s="17">
        <v>69</v>
      </c>
      <c r="G30" s="18">
        <v>68</v>
      </c>
      <c r="H30" s="19">
        <f t="shared" si="7"/>
        <v>98.550724637681171</v>
      </c>
      <c r="I30" s="19">
        <f t="shared" si="8"/>
        <v>94.444444444444443</v>
      </c>
      <c r="J30" s="20"/>
      <c r="K30" s="20"/>
      <c r="L30" s="44" t="s">
        <v>92</v>
      </c>
      <c r="M30" s="3">
        <f t="shared" si="9"/>
        <v>98.550724637681171</v>
      </c>
      <c r="N30" s="3" t="str">
        <f t="shared" si="3"/>
        <v>-</v>
      </c>
    </row>
    <row r="31" spans="1:14" s="12" customFormat="1" ht="129.75" customHeight="1" x14ac:dyDescent="0.2">
      <c r="A31" s="17" t="s">
        <v>189</v>
      </c>
      <c r="B31" s="43" t="s">
        <v>199</v>
      </c>
      <c r="C31" s="17" t="s">
        <v>180</v>
      </c>
      <c r="D31" s="17">
        <v>0</v>
      </c>
      <c r="E31" s="18">
        <v>4</v>
      </c>
      <c r="F31" s="17">
        <v>3</v>
      </c>
      <c r="G31" s="18">
        <v>3</v>
      </c>
      <c r="H31" s="19">
        <f t="shared" si="7"/>
        <v>100</v>
      </c>
      <c r="I31" s="19">
        <f t="shared" si="8"/>
        <v>75</v>
      </c>
      <c r="J31" s="20" t="s">
        <v>228</v>
      </c>
      <c r="K31" s="20"/>
      <c r="L31" s="44" t="s">
        <v>92</v>
      </c>
      <c r="M31" s="3">
        <f t="shared" si="9"/>
        <v>100</v>
      </c>
      <c r="N31" s="3" t="str">
        <f t="shared" si="3"/>
        <v>-</v>
      </c>
    </row>
    <row r="32" spans="1:14" ht="85.5" x14ac:dyDescent="0.25">
      <c r="A32" s="15" t="s">
        <v>84</v>
      </c>
      <c r="B32" s="49" t="s">
        <v>204</v>
      </c>
      <c r="C32" s="15"/>
      <c r="D32" s="15"/>
      <c r="E32" s="15"/>
      <c r="F32" s="15"/>
      <c r="G32" s="15"/>
      <c r="H32" s="19"/>
      <c r="I32" s="19"/>
      <c r="J32" s="9"/>
      <c r="K32" s="9"/>
      <c r="L32" s="48"/>
      <c r="M32" s="7">
        <f>AVERAGE(M33:M37)</f>
        <v>96.5</v>
      </c>
      <c r="N32" s="7">
        <f>AVERAGE(N33:N34,N36)</f>
        <v>100</v>
      </c>
    </row>
    <row r="33" spans="1:14" ht="105" x14ac:dyDescent="0.25">
      <c r="A33" s="17" t="s">
        <v>32</v>
      </c>
      <c r="B33" s="43" t="s">
        <v>205</v>
      </c>
      <c r="C33" s="17" t="s">
        <v>180</v>
      </c>
      <c r="D33" s="17">
        <v>1</v>
      </c>
      <c r="E33" s="18">
        <v>46</v>
      </c>
      <c r="F33" s="17">
        <v>48</v>
      </c>
      <c r="G33" s="18">
        <v>48</v>
      </c>
      <c r="H33" s="19">
        <f>G33/F33*100</f>
        <v>100</v>
      </c>
      <c r="I33" s="19">
        <f>G33/E33*100</f>
        <v>104.34782608695652</v>
      </c>
      <c r="J33" s="20"/>
      <c r="K33" s="20"/>
      <c r="L33" s="44" t="s">
        <v>88</v>
      </c>
      <c r="M33" s="3">
        <f>MIN(G33/F33*100, 100)</f>
        <v>100</v>
      </c>
      <c r="N33" s="3">
        <f t="shared" si="3"/>
        <v>100</v>
      </c>
    </row>
    <row r="34" spans="1:14" ht="165" x14ac:dyDescent="0.25">
      <c r="A34" s="17" t="s">
        <v>74</v>
      </c>
      <c r="B34" s="43" t="s">
        <v>206</v>
      </c>
      <c r="C34" s="17" t="s">
        <v>180</v>
      </c>
      <c r="D34" s="17">
        <v>1</v>
      </c>
      <c r="E34" s="18">
        <v>7</v>
      </c>
      <c r="F34" s="17">
        <v>8</v>
      </c>
      <c r="G34" s="18">
        <v>8</v>
      </c>
      <c r="H34" s="19">
        <f>G34/F34*100</f>
        <v>100</v>
      </c>
      <c r="I34" s="19">
        <f>G34/E34*100</f>
        <v>114.28571428571428</v>
      </c>
      <c r="J34" s="20"/>
      <c r="K34" s="20"/>
      <c r="L34" s="44" t="s">
        <v>93</v>
      </c>
      <c r="M34" s="3">
        <f>MIN(G34/F34*100, 100)</f>
        <v>100</v>
      </c>
      <c r="N34" s="3">
        <f t="shared" si="3"/>
        <v>100</v>
      </c>
    </row>
    <row r="35" spans="1:14" ht="103.5" customHeight="1" x14ac:dyDescent="0.25">
      <c r="A35" s="17" t="s">
        <v>201</v>
      </c>
      <c r="B35" s="43" t="s">
        <v>207</v>
      </c>
      <c r="C35" s="17" t="s">
        <v>180</v>
      </c>
      <c r="D35" s="17">
        <v>0</v>
      </c>
      <c r="E35" s="18">
        <v>15</v>
      </c>
      <c r="F35" s="43">
        <v>8</v>
      </c>
      <c r="G35" s="18">
        <v>7</v>
      </c>
      <c r="H35" s="19">
        <f>G35/F35*100</f>
        <v>87.5</v>
      </c>
      <c r="I35" s="19">
        <f>G35/E35*100</f>
        <v>46.666666666666664</v>
      </c>
      <c r="J35" s="20" t="s">
        <v>224</v>
      </c>
      <c r="K35" s="20"/>
      <c r="L35" s="44" t="s">
        <v>90</v>
      </c>
      <c r="M35" s="3">
        <f>MIN(G35/F35*100, 100)</f>
        <v>87.5</v>
      </c>
      <c r="N35" s="3" t="str">
        <f t="shared" si="3"/>
        <v>-</v>
      </c>
    </row>
    <row r="36" spans="1:14" ht="105" x14ac:dyDescent="0.25">
      <c r="A36" s="17" t="s">
        <v>202</v>
      </c>
      <c r="B36" s="43" t="s">
        <v>208</v>
      </c>
      <c r="C36" s="17" t="s">
        <v>83</v>
      </c>
      <c r="D36" s="17">
        <v>1</v>
      </c>
      <c r="E36" s="18">
        <v>6</v>
      </c>
      <c r="F36" s="17">
        <v>6</v>
      </c>
      <c r="G36" s="18">
        <v>6</v>
      </c>
      <c r="H36" s="19">
        <f>G36/F36*100</f>
        <v>100</v>
      </c>
      <c r="I36" s="19">
        <f>G36/E36*100</f>
        <v>100</v>
      </c>
      <c r="J36" s="20"/>
      <c r="K36" s="20"/>
      <c r="L36" s="44" t="s">
        <v>24</v>
      </c>
      <c r="M36" s="3">
        <f>MIN(G36/F36*100, 100)</f>
        <v>100</v>
      </c>
      <c r="N36" s="3">
        <f t="shared" si="3"/>
        <v>100</v>
      </c>
    </row>
    <row r="37" spans="1:14" ht="75.75" customHeight="1" x14ac:dyDescent="0.25">
      <c r="A37" s="17" t="s">
        <v>203</v>
      </c>
      <c r="B37" s="43" t="s">
        <v>209</v>
      </c>
      <c r="C37" s="17" t="s">
        <v>180</v>
      </c>
      <c r="D37" s="17">
        <v>0</v>
      </c>
      <c r="E37" s="18">
        <v>0</v>
      </c>
      <c r="F37" s="17">
        <v>20</v>
      </c>
      <c r="G37" s="18">
        <v>19</v>
      </c>
      <c r="H37" s="19">
        <f>G37/F37*100</f>
        <v>95</v>
      </c>
      <c r="I37" s="19" t="e">
        <f>G37/E37*100</f>
        <v>#DIV/0!</v>
      </c>
      <c r="J37" s="20" t="s">
        <v>223</v>
      </c>
      <c r="K37" s="20"/>
      <c r="L37" s="44" t="s">
        <v>90</v>
      </c>
      <c r="M37" s="3">
        <f>MIN(G37/F37*100, 100)</f>
        <v>95</v>
      </c>
      <c r="N37" s="3" t="str">
        <f t="shared" si="3"/>
        <v>-</v>
      </c>
    </row>
  </sheetData>
  <mergeCells count="15">
    <mergeCell ref="A1:N1"/>
    <mergeCell ref="K4:K6"/>
    <mergeCell ref="L4:L6"/>
    <mergeCell ref="M4:M6"/>
    <mergeCell ref="N4:N6"/>
    <mergeCell ref="A2:N2"/>
    <mergeCell ref="E4:G4"/>
    <mergeCell ref="F5:G5"/>
    <mergeCell ref="D4:D6"/>
    <mergeCell ref="H4:H6"/>
    <mergeCell ref="I4:I6"/>
    <mergeCell ref="J4:J6"/>
    <mergeCell ref="A4:A6"/>
    <mergeCell ref="B4:B6"/>
    <mergeCell ref="C4:C6"/>
  </mergeCells>
  <pageMargins left="0.25" right="0.25" top="0.75" bottom="0.75" header="0.3" footer="0.3"/>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6"/>
  <sheetViews>
    <sheetView topLeftCell="D1" workbookViewId="0">
      <selection activeCell="F6" sqref="F6"/>
    </sheetView>
  </sheetViews>
  <sheetFormatPr defaultColWidth="8.85546875" defaultRowHeight="15" x14ac:dyDescent="0.25"/>
  <cols>
    <col min="1" max="1" width="4.85546875" style="1" customWidth="1"/>
    <col min="2" max="2" width="33" style="1" customWidth="1"/>
    <col min="3" max="3" width="38" style="1" customWidth="1"/>
    <col min="4" max="4" width="47.28515625" style="1" customWidth="1"/>
    <col min="5" max="5" width="71.7109375" style="1" customWidth="1"/>
    <col min="6" max="6" width="34" style="1" customWidth="1"/>
    <col min="7" max="16384" width="8.85546875" style="1"/>
  </cols>
  <sheetData>
    <row r="1" spans="1:6" x14ac:dyDescent="0.25">
      <c r="A1" s="134" t="s">
        <v>58</v>
      </c>
      <c r="B1" s="134"/>
      <c r="C1" s="134"/>
      <c r="D1" s="134"/>
      <c r="E1" s="134"/>
      <c r="F1" s="134"/>
    </row>
    <row r="2" spans="1:6" x14ac:dyDescent="0.25">
      <c r="A2" s="134" t="s">
        <v>59</v>
      </c>
      <c r="B2" s="134"/>
      <c r="C2" s="134"/>
      <c r="D2" s="134"/>
      <c r="E2" s="134"/>
      <c r="F2" s="134"/>
    </row>
    <row r="4" spans="1:6" ht="30" x14ac:dyDescent="0.25">
      <c r="A4" s="6" t="s">
        <v>0</v>
      </c>
      <c r="B4" s="6" t="s">
        <v>67</v>
      </c>
      <c r="C4" s="6" t="s">
        <v>68</v>
      </c>
      <c r="D4" s="6" t="s">
        <v>69</v>
      </c>
      <c r="E4" s="6" t="s">
        <v>70</v>
      </c>
      <c r="F4" s="6" t="s">
        <v>71</v>
      </c>
    </row>
    <row r="5" spans="1:6" s="21" customFormat="1" ht="20.45" customHeight="1" x14ac:dyDescent="0.25">
      <c r="A5" s="9">
        <v>2</v>
      </c>
      <c r="B5" s="153" t="s">
        <v>75</v>
      </c>
      <c r="C5" s="153"/>
      <c r="D5" s="153"/>
      <c r="E5" s="9"/>
      <c r="F5" s="9"/>
    </row>
    <row r="6" spans="1:6" ht="409.5" customHeight="1" x14ac:dyDescent="0.25">
      <c r="A6" s="8" t="s">
        <v>77</v>
      </c>
      <c r="B6" s="8" t="s">
        <v>214</v>
      </c>
      <c r="C6" s="8" t="s">
        <v>215</v>
      </c>
      <c r="D6" s="8" t="s">
        <v>216</v>
      </c>
      <c r="E6" s="8" t="s">
        <v>217</v>
      </c>
      <c r="F6" s="20" t="s">
        <v>222</v>
      </c>
    </row>
  </sheetData>
  <mergeCells count="3">
    <mergeCell ref="B5:D5"/>
    <mergeCell ref="A1:F1"/>
    <mergeCell ref="A2:F2"/>
  </mergeCells>
  <pageMargins left="0.25" right="0.25" top="0.75" bottom="0.75" header="0.3" footer="0.3"/>
  <pageSetup paperSize="9" scale="6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8"/>
  <sheetViews>
    <sheetView topLeftCell="B1" zoomScaleNormal="100" zoomScaleSheetLayoutView="100" workbookViewId="0">
      <selection activeCell="B8" sqref="B8"/>
    </sheetView>
  </sheetViews>
  <sheetFormatPr defaultColWidth="8.85546875" defaultRowHeight="15" x14ac:dyDescent="0.25"/>
  <cols>
    <col min="1" max="1" width="6.28515625" style="11" customWidth="1"/>
    <col min="2" max="2" width="69.85546875" style="11" customWidth="1"/>
    <col min="3" max="3" width="14.5703125" style="11" customWidth="1"/>
    <col min="4" max="4" width="14.85546875" style="11" customWidth="1"/>
    <col min="5" max="5" width="16.28515625" style="11" customWidth="1"/>
    <col min="6" max="6" width="14.28515625" style="11" customWidth="1"/>
    <col min="7" max="7" width="16.42578125" style="11" customWidth="1"/>
    <col min="8" max="8" width="46.42578125" style="11" customWidth="1"/>
    <col min="9" max="16384" width="8.85546875" style="11"/>
  </cols>
  <sheetData>
    <row r="1" spans="1:8" x14ac:dyDescent="0.25">
      <c r="A1" s="134" t="s">
        <v>210</v>
      </c>
      <c r="B1" s="134"/>
      <c r="C1" s="134"/>
      <c r="D1" s="134"/>
      <c r="E1" s="134"/>
      <c r="F1" s="134"/>
      <c r="G1" s="134"/>
      <c r="H1" s="134"/>
    </row>
    <row r="2" spans="1:8" x14ac:dyDescent="0.25">
      <c r="A2" s="134" t="s">
        <v>59</v>
      </c>
      <c r="B2" s="134"/>
      <c r="C2" s="134"/>
      <c r="D2" s="134"/>
      <c r="E2" s="134"/>
      <c r="F2" s="134"/>
      <c r="G2" s="134"/>
      <c r="H2" s="134"/>
    </row>
    <row r="3" spans="1:8" ht="14.45" customHeight="1" x14ac:dyDescent="0.25"/>
    <row r="4" spans="1:8" ht="90" x14ac:dyDescent="0.25">
      <c r="A4" s="2" t="s">
        <v>0</v>
      </c>
      <c r="B4" s="2" t="s">
        <v>60</v>
      </c>
      <c r="C4" s="2" t="s">
        <v>61</v>
      </c>
      <c r="D4" s="2" t="s">
        <v>62</v>
      </c>
      <c r="E4" s="2" t="s">
        <v>63</v>
      </c>
      <c r="F4" s="2" t="s">
        <v>64</v>
      </c>
      <c r="G4" s="2" t="s">
        <v>65</v>
      </c>
      <c r="H4" s="2" t="s">
        <v>66</v>
      </c>
    </row>
    <row r="5" spans="1:8" s="12" customFormat="1" ht="26.25" customHeight="1" x14ac:dyDescent="0.2">
      <c r="A5" s="4" t="s">
        <v>25</v>
      </c>
      <c r="B5" s="23" t="s">
        <v>166</v>
      </c>
      <c r="C5" s="23" t="s">
        <v>24</v>
      </c>
      <c r="D5" s="7">
        <f>Показатели!M7</f>
        <v>96.085417117981407</v>
      </c>
      <c r="E5" s="7">
        <f>IF(Показатели!N7="-",100,Показатели!N7)</f>
        <v>100</v>
      </c>
      <c r="F5" s="7">
        <f>('Основной отчет'!I8+0.5*'Основной отчет'!I9)/'Основной отчет'!I7*100</f>
        <v>50</v>
      </c>
      <c r="G5" s="7">
        <f>D5*0.3+(E5-3)*0.35+F5*0.35</f>
        <v>80.275625135394421</v>
      </c>
      <c r="H5" s="23" t="str">
        <f>IF(G5&gt;=97,"Высокий уровень эффективности",IF(G5&gt;=92,"Средний уровень эффективности",IF(G5&gt;=85,"Уровень эффективности ниже среднего","Низкий уровень эффективности")))</f>
        <v>Низкий уровень эффективности</v>
      </c>
    </row>
    <row r="6" spans="1:8" ht="48" customHeight="1" x14ac:dyDescent="0.25">
      <c r="A6" s="5" t="s">
        <v>26</v>
      </c>
      <c r="B6" s="2" t="s">
        <v>211</v>
      </c>
      <c r="C6" s="2" t="s">
        <v>88</v>
      </c>
      <c r="D6" s="3">
        <f>Показатели!M14</f>
        <v>93.875922924636072</v>
      </c>
      <c r="E6" s="3">
        <f>IF(Показатели!N14="-",100,Показатели!N14)</f>
        <v>100</v>
      </c>
      <c r="F6" s="3">
        <f>('Основной отчет'!I48+0.5*'Основной отчет'!I49)/'Основной отчет'!I47*100</f>
        <v>50</v>
      </c>
      <c r="G6" s="3">
        <f>D6*0.3+(E6-3)*0.35+F6*0.35</f>
        <v>79.612776877390814</v>
      </c>
      <c r="H6" s="2" t="str">
        <f>IF(G6&gt;=97,"Высокий уровень эффективности",IF(G6&gt;=92,"Средний уровень эффективности",IF(G6&gt;=85,"Уровень эффективности ниже среднего","Низкий уровень эффективности")))</f>
        <v>Низкий уровень эффективности</v>
      </c>
    </row>
    <row r="7" spans="1:8" ht="84.75" customHeight="1" x14ac:dyDescent="0.25">
      <c r="A7" s="5" t="s">
        <v>52</v>
      </c>
      <c r="B7" s="2" t="s">
        <v>212</v>
      </c>
      <c r="C7" s="2" t="s">
        <v>24</v>
      </c>
      <c r="D7" s="3">
        <f>Показатели!M21</f>
        <v>94.85507246376811</v>
      </c>
      <c r="E7" s="3">
        <f>IF(Показатели!N21="-",100,Показатели!N21)</f>
        <v>100</v>
      </c>
      <c r="F7" s="3">
        <f>('Основной отчет'!I113+0.5*'Основной отчет'!I114)/'Основной отчет'!I112*100</f>
        <v>50</v>
      </c>
      <c r="G7" s="3">
        <f>D7*0.3+(E7-3)*0.35+F7*0.35</f>
        <v>79.906521739130426</v>
      </c>
      <c r="H7" s="2" t="str">
        <f>IF(G7&gt;=97,"Высокий уровень эффективности",IF(G7&gt;=92,"Средний уровень эффективности",IF(G7&gt;=85,"Уровень эффективности ниже среднего","Низкий уровень эффективности")))</f>
        <v>Низкий уровень эффективности</v>
      </c>
    </row>
    <row r="8" spans="1:8" ht="45" x14ac:dyDescent="0.25">
      <c r="A8" s="5" t="s">
        <v>53</v>
      </c>
      <c r="B8" s="2" t="s">
        <v>213</v>
      </c>
      <c r="C8" s="2" t="s">
        <v>24</v>
      </c>
      <c r="D8" s="3">
        <f>Показатели!M32</f>
        <v>96.5</v>
      </c>
      <c r="E8" s="3">
        <f>IF(Показатели!N32="-",100,Показатели!N32)</f>
        <v>100</v>
      </c>
      <c r="F8" s="3">
        <f>('Основной отчет'!I228+0.5*'Основной отчет'!I229)/'Основной отчет'!I227*100</f>
        <v>50</v>
      </c>
      <c r="G8" s="3">
        <f>D8*0.3+(E8-3)*0.35+F8*0.35</f>
        <v>80.399999999999991</v>
      </c>
      <c r="H8" s="2" t="str">
        <f>IF(G8&gt;=97,"Высокий уровень эффективности",IF(G8&gt;=92,"Средний уровень эффективности",IF(G8&gt;=85,"Уровень эффективности ниже среднего","Низкий уровень эффективности")))</f>
        <v>Низкий уровень эффективности</v>
      </c>
    </row>
  </sheetData>
  <mergeCells count="2">
    <mergeCell ref="A1:H1"/>
    <mergeCell ref="A2:H2"/>
  </mergeCells>
  <pageMargins left="0.23622047244094491" right="0.23622047244094491"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Основной отчет</vt:lpstr>
      <vt:lpstr>Показатели</vt:lpstr>
      <vt:lpstr>Финансовая поддержка</vt:lpstr>
      <vt:lpstr>Оценка эффективности</vt:lpstr>
      <vt:lpstr>'Основной отчет'!_ftn1</vt:lpstr>
      <vt:lpstr>'Основной отчет'!_ftn2</vt:lpstr>
      <vt:lpstr>'Основной отчет'!_ftnref1</vt:lpstr>
      <vt:lpstr>'Основной отчет'!_ftnref2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2024-08-15T07:06:02Z</dcterms:modified>
</cp:coreProperties>
</file>